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76049723a2739c8/luis e duda 2021/Luis e Duda/CLIENTES/TBT BRINDES/"/>
    </mc:Choice>
  </mc:AlternateContent>
  <xr:revisionPtr revIDLastSave="129" documentId="8_{91C70DFE-B801-43D0-AED8-0AA27DC9B743}" xr6:coauthVersionLast="47" xr6:coauthVersionMax="47" xr10:uidLastSave="{F9880903-E2E1-43BB-A1B1-74CC4681A09E}"/>
  <bookViews>
    <workbookView xWindow="-120" yWindow="-120" windowWidth="20730" windowHeight="11040" firstSheet="4" activeTab="7" xr2:uid="{77C8742C-967F-4809-AE5B-5CDC4701CCCD}"/>
  </bookViews>
  <sheets>
    <sheet name="REPASSE (2)" sheetId="3" state="hidden" r:id="rId1"/>
    <sheet name="REPASSE" sheetId="2" r:id="rId2"/>
    <sheet name="PEQUENA QUANTIDADE" sheetId="4" r:id="rId3"/>
    <sheet name="GRANDE QUANTIDADE (2)" sheetId="6" r:id="rId4"/>
    <sheet name="Planilha1" sheetId="7" r:id="rId5"/>
    <sheet name="GRANDE QUANTIDADE (3)" sheetId="8" r:id="rId6"/>
    <sheet name="GRANDE QUANTIDADE (4)" sheetId="9" r:id="rId7"/>
    <sheet name="Planilha4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0" l="1"/>
  <c r="B21" i="10"/>
  <c r="B20" i="10"/>
  <c r="E19" i="10"/>
  <c r="B19" i="10"/>
  <c r="E17" i="10"/>
  <c r="E16" i="10"/>
  <c r="D15" i="10"/>
  <c r="B15" i="10"/>
  <c r="E14" i="10"/>
  <c r="B6" i="10"/>
  <c r="F4" i="10"/>
  <c r="C10" i="10"/>
  <c r="E18" i="10"/>
  <c r="E10" i="10" s="1"/>
  <c r="D10" i="10"/>
  <c r="B10" i="10"/>
  <c r="C13" i="10"/>
  <c r="E4" i="10"/>
  <c r="E5" i="10" s="1"/>
  <c r="B7" i="10"/>
  <c r="E11" i="9"/>
  <c r="B36" i="9"/>
  <c r="B37" i="9" s="1"/>
  <c r="A36" i="9"/>
  <c r="B26" i="9"/>
  <c r="B27" i="9" s="1"/>
  <c r="F17" i="9"/>
  <c r="F16" i="9"/>
  <c r="T15" i="9"/>
  <c r="C14" i="9"/>
  <c r="D11" i="9"/>
  <c r="D10" i="9"/>
  <c r="S19" i="9" s="1"/>
  <c r="C7" i="9"/>
  <c r="C12" i="9" s="1"/>
  <c r="D6" i="9"/>
  <c r="E6" i="9" s="1"/>
  <c r="C6" i="9"/>
  <c r="C11" i="9" s="1"/>
  <c r="O5" i="9"/>
  <c r="N5" i="9"/>
  <c r="J5" i="9"/>
  <c r="D5" i="9"/>
  <c r="E5" i="9" s="1"/>
  <c r="C5" i="9"/>
  <c r="C10" i="9" s="1"/>
  <c r="O4" i="9"/>
  <c r="N4" i="9"/>
  <c r="J4" i="9"/>
  <c r="I4" i="9"/>
  <c r="K4" i="9" s="1"/>
  <c r="M4" i="9" s="1"/>
  <c r="P4" i="9" s="1"/>
  <c r="Q4" i="9" s="1"/>
  <c r="D4" i="9"/>
  <c r="B4" i="9"/>
  <c r="O2" i="9"/>
  <c r="N2" i="9"/>
  <c r="M2" i="9"/>
  <c r="G2" i="9"/>
  <c r="E2" i="9"/>
  <c r="E12" i="9" s="1"/>
  <c r="E13" i="9" s="1"/>
  <c r="B8" i="10" l="1"/>
  <c r="C7" i="10"/>
  <c r="E14" i="9"/>
  <c r="E15" i="9" s="1"/>
  <c r="E16" i="9" s="1"/>
  <c r="E17" i="9" s="1"/>
  <c r="E18" i="9" s="1"/>
  <c r="F13" i="9"/>
  <c r="F12" i="9"/>
  <c r="E23" i="9" s="1"/>
  <c r="A27" i="9"/>
  <c r="K15" i="9" s="1"/>
  <c r="I5" i="9" s="1"/>
  <c r="K5" i="9" s="1"/>
  <c r="M5" i="9" s="1"/>
  <c r="P5" i="9" s="1"/>
  <c r="C13" i="9"/>
  <c r="A12" i="9"/>
  <c r="A13" i="9" s="1"/>
  <c r="A14" i="9" s="1"/>
  <c r="A15" i="9" s="1"/>
  <c r="A16" i="9" s="1"/>
  <c r="A17" i="9" s="1"/>
  <c r="A18" i="9" s="1"/>
  <c r="B8" i="9"/>
  <c r="B9" i="9" s="1"/>
  <c r="B7" i="9"/>
  <c r="A26" i="9"/>
  <c r="E4" i="9"/>
  <c r="E20" i="10" l="1"/>
  <c r="B10" i="9"/>
  <c r="B11" i="9" s="1"/>
  <c r="B13" i="9" s="1"/>
  <c r="B14" i="9" s="1"/>
  <c r="C9" i="9"/>
  <c r="E22" i="9"/>
  <c r="E20" i="9"/>
  <c r="A37" i="9" l="1"/>
  <c r="B15" i="9"/>
  <c r="C12" i="8" l="1"/>
  <c r="C11" i="8"/>
  <c r="C10" i="8"/>
  <c r="B15" i="8"/>
  <c r="C9" i="8"/>
  <c r="B14" i="8"/>
  <c r="B11" i="8"/>
  <c r="B9" i="8"/>
  <c r="B8" i="8"/>
  <c r="C7" i="8"/>
  <c r="C6" i="8"/>
  <c r="C5" i="8"/>
  <c r="D11" i="8"/>
  <c r="B36" i="8"/>
  <c r="B37" i="8" s="1"/>
  <c r="B26" i="8"/>
  <c r="B27" i="8" s="1"/>
  <c r="F17" i="8"/>
  <c r="F16" i="8"/>
  <c r="T15" i="8"/>
  <c r="C14" i="8"/>
  <c r="E11" i="8"/>
  <c r="D10" i="8"/>
  <c r="D6" i="8"/>
  <c r="E6" i="8" s="1"/>
  <c r="O5" i="8"/>
  <c r="N5" i="8"/>
  <c r="J5" i="8"/>
  <c r="D5" i="8"/>
  <c r="E5" i="8" s="1"/>
  <c r="O4" i="8"/>
  <c r="N4" i="8"/>
  <c r="J4" i="8"/>
  <c r="I4" i="8"/>
  <c r="K4" i="8" s="1"/>
  <c r="M4" i="8" s="1"/>
  <c r="P4" i="8" s="1"/>
  <c r="Q4" i="8" s="1"/>
  <c r="D4" i="8"/>
  <c r="B4" i="8"/>
  <c r="O2" i="8"/>
  <c r="N2" i="8"/>
  <c r="M2" i="8"/>
  <c r="G2" i="8"/>
  <c r="E2" i="8"/>
  <c r="E12" i="8" s="1"/>
  <c r="E13" i="8" s="1"/>
  <c r="E15" i="6"/>
  <c r="B26" i="6"/>
  <c r="B8" i="6"/>
  <c r="E11" i="6"/>
  <c r="C14" i="6"/>
  <c r="D4" i="6"/>
  <c r="E4" i="6" s="1"/>
  <c r="T15" i="6"/>
  <c r="B4" i="6"/>
  <c r="G2" i="6"/>
  <c r="J4" i="6"/>
  <c r="J5" i="6"/>
  <c r="N5" i="6"/>
  <c r="O5" i="6"/>
  <c r="F16" i="6"/>
  <c r="F17" i="6"/>
  <c r="E2" i="6"/>
  <c r="E12" i="6" s="1"/>
  <c r="D5" i="6"/>
  <c r="N4" i="6" s="1"/>
  <c r="N2" i="6" s="1"/>
  <c r="S19" i="8" l="1"/>
  <c r="E14" i="8"/>
  <c r="E15" i="8" s="1"/>
  <c r="E16" i="8" s="1"/>
  <c r="E17" i="8" s="1"/>
  <c r="E18" i="8" s="1"/>
  <c r="F13" i="8"/>
  <c r="F12" i="8"/>
  <c r="E23" i="8" s="1"/>
  <c r="A27" i="8"/>
  <c r="K15" i="8" s="1"/>
  <c r="I5" i="8" s="1"/>
  <c r="K5" i="8" s="1"/>
  <c r="M5" i="8" s="1"/>
  <c r="P5" i="8" s="1"/>
  <c r="C13" i="8"/>
  <c r="A12" i="8"/>
  <c r="A13" i="8" s="1"/>
  <c r="A14" i="8" s="1"/>
  <c r="A15" i="8" s="1"/>
  <c r="A16" i="8" s="1"/>
  <c r="A17" i="8" s="1"/>
  <c r="A18" i="8" s="1"/>
  <c r="B7" i="8"/>
  <c r="B10" i="8" s="1"/>
  <c r="B13" i="8" s="1"/>
  <c r="A26" i="8"/>
  <c r="E4" i="8"/>
  <c r="B7" i="6"/>
  <c r="C13" i="6"/>
  <c r="A12" i="6"/>
  <c r="R4" i="4"/>
  <c r="U4" i="4"/>
  <c r="A26" i="6"/>
  <c r="I4" i="6" s="1"/>
  <c r="K4" i="6" s="1"/>
  <c r="M4" i="6" s="1"/>
  <c r="D6" i="6"/>
  <c r="O4" i="6" s="1"/>
  <c r="O2" i="6" s="1"/>
  <c r="E5" i="6"/>
  <c r="B27" i="6"/>
  <c r="D10" i="6" s="1"/>
  <c r="B9" i="6" s="1"/>
  <c r="B10" i="6" s="1"/>
  <c r="B13" i="6" s="1"/>
  <c r="K16" i="4"/>
  <c r="K15" i="4"/>
  <c r="L15" i="4" s="1"/>
  <c r="D4" i="4"/>
  <c r="E4" i="4" s="1"/>
  <c r="G7" i="4" s="1"/>
  <c r="B4" i="4"/>
  <c r="G8" i="4" s="1"/>
  <c r="I16" i="4"/>
  <c r="T4" i="4" s="1"/>
  <c r="I15" i="4"/>
  <c r="S4" i="4" s="1"/>
  <c r="E3" i="4"/>
  <c r="O4" i="4"/>
  <c r="H7" i="4"/>
  <c r="H8" i="4" s="1"/>
  <c r="H10" i="4" s="1"/>
  <c r="E22" i="8" l="1"/>
  <c r="E20" i="8"/>
  <c r="S19" i="6"/>
  <c r="E13" i="6"/>
  <c r="B14" i="6"/>
  <c r="A13" i="6"/>
  <c r="A14" i="6" s="1"/>
  <c r="A15" i="6" s="1"/>
  <c r="M2" i="6"/>
  <c r="P4" i="6"/>
  <c r="Q4" i="6" s="1"/>
  <c r="E6" i="6"/>
  <c r="A27" i="6"/>
  <c r="K15" i="6" s="1"/>
  <c r="I5" i="6" s="1"/>
  <c r="K5" i="6" s="1"/>
  <c r="M5" i="6" s="1"/>
  <c r="P5" i="6" s="1"/>
  <c r="L16" i="4"/>
  <c r="G11" i="4" s="1"/>
  <c r="N5" i="4" s="1"/>
  <c r="G10" i="4"/>
  <c r="N4" i="4" s="1"/>
  <c r="P4" i="4" s="1"/>
  <c r="A36" i="8" l="1"/>
  <c r="A37" i="8"/>
  <c r="F13" i="6"/>
  <c r="F12" i="6"/>
  <c r="E23" i="6" s="1"/>
  <c r="E14" i="6"/>
  <c r="E16" i="6" s="1"/>
  <c r="E17" i="6" s="1"/>
  <c r="V4" i="2"/>
  <c r="V5" i="2"/>
  <c r="V6" i="2"/>
  <c r="V7" i="2"/>
  <c r="V8" i="2"/>
  <c r="V9" i="2"/>
  <c r="V10" i="2"/>
  <c r="V11" i="2"/>
  <c r="V3" i="2"/>
  <c r="G4" i="2"/>
  <c r="I4" i="2"/>
  <c r="J4" i="2"/>
  <c r="K4" i="2"/>
  <c r="R4" i="2"/>
  <c r="T4" i="2"/>
  <c r="U4" i="2"/>
  <c r="AC4" i="2"/>
  <c r="AD4" i="2" s="1"/>
  <c r="G5" i="2"/>
  <c r="I5" i="2"/>
  <c r="J5" i="2"/>
  <c r="K5" i="2"/>
  <c r="R5" i="2"/>
  <c r="T5" i="2"/>
  <c r="U5" i="2"/>
  <c r="AC5" i="2"/>
  <c r="AD5" i="2" s="1"/>
  <c r="G6" i="2"/>
  <c r="I6" i="2"/>
  <c r="J6" i="2"/>
  <c r="K6" i="2"/>
  <c r="R6" i="2"/>
  <c r="T6" i="2"/>
  <c r="U6" i="2"/>
  <c r="AC6" i="2"/>
  <c r="AD6" i="2" s="1"/>
  <c r="G7" i="2"/>
  <c r="I7" i="2"/>
  <c r="J7" i="2"/>
  <c r="K7" i="2"/>
  <c r="R7" i="2"/>
  <c r="T7" i="2"/>
  <c r="U7" i="2"/>
  <c r="AC7" i="2"/>
  <c r="AD7" i="2" s="1"/>
  <c r="G8" i="2"/>
  <c r="I8" i="2"/>
  <c r="J8" i="2"/>
  <c r="K8" i="2"/>
  <c r="R8" i="2"/>
  <c r="T8" i="2"/>
  <c r="U8" i="2"/>
  <c r="AC8" i="2"/>
  <c r="AD8" i="2" s="1"/>
  <c r="G9" i="2"/>
  <c r="I9" i="2"/>
  <c r="J9" i="2"/>
  <c r="K9" i="2"/>
  <c r="R9" i="2"/>
  <c r="T9" i="2"/>
  <c r="U9" i="2"/>
  <c r="AC9" i="2"/>
  <c r="AD9" i="2" s="1"/>
  <c r="G10" i="2"/>
  <c r="I10" i="2"/>
  <c r="J10" i="2"/>
  <c r="K10" i="2"/>
  <c r="R10" i="2"/>
  <c r="T10" i="2"/>
  <c r="U10" i="2"/>
  <c r="AC10" i="2"/>
  <c r="AD10" i="2" s="1"/>
  <c r="G11" i="2"/>
  <c r="I11" i="2"/>
  <c r="J11" i="2"/>
  <c r="K11" i="2"/>
  <c r="R11" i="2"/>
  <c r="T11" i="2"/>
  <c r="U11" i="2"/>
  <c r="AC11" i="2"/>
  <c r="AD11" i="2" s="1"/>
  <c r="U3" i="2"/>
  <c r="R3" i="2"/>
  <c r="T3" i="2"/>
  <c r="AC3" i="2"/>
  <c r="AE3" i="2" s="1"/>
  <c r="J3" i="2"/>
  <c r="B16" i="3"/>
  <c r="B17" i="3" s="1"/>
  <c r="R12" i="3"/>
  <c r="O11" i="3"/>
  <c r="I3" i="2"/>
  <c r="K3" i="2"/>
  <c r="G3" i="2"/>
  <c r="W3" i="2" s="1"/>
  <c r="A16" i="6" l="1"/>
  <c r="A17" i="6" s="1"/>
  <c r="A18" i="6" s="1"/>
  <c r="X3" i="2"/>
  <c r="W7" i="2"/>
  <c r="N7" i="2" s="1"/>
  <c r="W8" i="2"/>
  <c r="N8" i="2" s="1"/>
  <c r="W9" i="2"/>
  <c r="N9" i="2" s="1"/>
  <c r="W5" i="2"/>
  <c r="N5" i="2" s="1"/>
  <c r="W11" i="2"/>
  <c r="N11" i="2" s="1"/>
  <c r="W4" i="2"/>
  <c r="N4" i="2" s="1"/>
  <c r="N3" i="2"/>
  <c r="W10" i="2"/>
  <c r="N10" i="2" s="1"/>
  <c r="W6" i="2"/>
  <c r="N6" i="2" s="1"/>
  <c r="R12" i="2"/>
  <c r="AE11" i="2"/>
  <c r="X10" i="2"/>
  <c r="Y10" i="2" s="1"/>
  <c r="Z10" i="2" s="1"/>
  <c r="AE7" i="2"/>
  <c r="AE9" i="2"/>
  <c r="X8" i="2"/>
  <c r="Y8" i="2" s="1"/>
  <c r="Z8" i="2" s="1"/>
  <c r="AE5" i="2"/>
  <c r="X4" i="2"/>
  <c r="Y4" i="2" s="1"/>
  <c r="X6" i="2"/>
  <c r="Y6" i="2" s="1"/>
  <c r="X11" i="2"/>
  <c r="Y11" i="2" s="1"/>
  <c r="Z11" i="2" s="1"/>
  <c r="X9" i="2"/>
  <c r="Y9" i="2" s="1"/>
  <c r="Z9" i="2" s="1"/>
  <c r="X7" i="2"/>
  <c r="Y7" i="2" s="1"/>
  <c r="Z7" i="2" s="1"/>
  <c r="X5" i="2"/>
  <c r="Y5" i="2" s="1"/>
  <c r="Z5" i="2" s="1"/>
  <c r="AE10" i="2"/>
  <c r="AE8" i="2"/>
  <c r="AE6" i="2"/>
  <c r="AE4" i="2"/>
  <c r="AD3" i="2"/>
  <c r="E18" i="6" l="1"/>
  <c r="Z4" i="2"/>
  <c r="AB4" i="2" s="1"/>
  <c r="P4" i="2" s="1"/>
  <c r="Z6" i="2"/>
  <c r="AB6" i="2" s="1"/>
  <c r="P6" i="2" s="1"/>
  <c r="AB5" i="2"/>
  <c r="P5" i="2" s="1"/>
  <c r="AB11" i="2"/>
  <c r="P11" i="2" s="1"/>
  <c r="AB10" i="2"/>
  <c r="P10" i="2" s="1"/>
  <c r="AB9" i="2"/>
  <c r="P9" i="2" s="1"/>
  <c r="AB8" i="2"/>
  <c r="P8" i="2" s="1"/>
  <c r="AB7" i="2"/>
  <c r="P7" i="2" s="1"/>
  <c r="E20" i="6" l="1"/>
  <c r="E22" i="6"/>
  <c r="M11" i="2"/>
  <c r="Q11" i="2"/>
  <c r="M9" i="2"/>
  <c r="Q9" i="2"/>
  <c r="M5" i="2"/>
  <c r="Q5" i="2"/>
  <c r="M8" i="2"/>
  <c r="Q8" i="2"/>
  <c r="M10" i="2"/>
  <c r="Q10" i="2"/>
  <c r="M6" i="2"/>
  <c r="Q6" i="2"/>
  <c r="M7" i="2"/>
  <c r="Q7" i="2"/>
  <c r="M4" i="2"/>
  <c r="Q4" i="2"/>
  <c r="E6" i="3" l="1"/>
  <c r="F6" i="3" s="1"/>
  <c r="P6" i="3" s="1"/>
  <c r="E5" i="3"/>
  <c r="F5" i="3" s="1"/>
  <c r="E4" i="3"/>
  <c r="F4" i="3" s="1"/>
  <c r="P4" i="3" s="1"/>
  <c r="E3" i="3"/>
  <c r="F3" i="3" s="1"/>
  <c r="X5" i="3" l="1"/>
  <c r="I5" i="3"/>
  <c r="Q5" i="3"/>
  <c r="P5" i="3"/>
  <c r="AA5" i="3"/>
  <c r="O5" i="3"/>
  <c r="O3" i="3"/>
  <c r="I3" i="3"/>
  <c r="X3" i="3"/>
  <c r="AA3" i="3"/>
  <c r="P3" i="3"/>
  <c r="Q3" i="3"/>
  <c r="R3" i="3"/>
  <c r="AA4" i="3"/>
  <c r="O6" i="3"/>
  <c r="X4" i="3"/>
  <c r="Q4" i="3"/>
  <c r="O4" i="3"/>
  <c r="AA6" i="3"/>
  <c r="Q6" i="3"/>
  <c r="X6" i="3"/>
  <c r="I4" i="3"/>
  <c r="I6" i="3"/>
  <c r="S6" i="3" l="1"/>
  <c r="S3" i="3"/>
  <c r="T3" i="3"/>
  <c r="U3" i="3" s="1"/>
  <c r="S5" i="3"/>
  <c r="T6" i="3"/>
  <c r="U6" i="3" s="1"/>
  <c r="Z4" i="3"/>
  <c r="Y4" i="3"/>
  <c r="Z6" i="3"/>
  <c r="Y6" i="3"/>
  <c r="S4" i="3"/>
  <c r="Y3" i="3"/>
  <c r="Z3" i="3"/>
  <c r="Z5" i="3"/>
  <c r="Y5" i="3"/>
  <c r="W6" i="3" l="1"/>
  <c r="G6" i="3" s="1"/>
  <c r="J6" i="3" s="1"/>
  <c r="W3" i="3"/>
  <c r="G3" i="3" s="1"/>
  <c r="T5" i="3"/>
  <c r="U5" i="3" s="1"/>
  <c r="T4" i="3"/>
  <c r="U4" i="3" s="1"/>
  <c r="W4" i="3" l="1"/>
  <c r="G4" i="3" s="1"/>
  <c r="J4" i="3" s="1"/>
  <c r="W5" i="3"/>
  <c r="G5" i="3" s="1"/>
  <c r="J5" i="3" s="1"/>
  <c r="F9" i="3"/>
  <c r="J3" i="3"/>
  <c r="Y3" i="2"/>
  <c r="Z3" i="2" s="1"/>
  <c r="AB3" i="2" l="1"/>
  <c r="P3" i="2" l="1"/>
  <c r="Q3" i="2" s="1"/>
  <c r="Q12" i="2" s="1"/>
  <c r="M3" i="2" l="1"/>
</calcChain>
</file>

<file path=xl/sharedStrings.xml><?xml version="1.0" encoding="utf-8"?>
<sst xmlns="http://schemas.openxmlformats.org/spreadsheetml/2006/main" count="201" uniqueCount="74">
  <si>
    <t>produto</t>
  </si>
  <si>
    <t>Valor unitário (custo)</t>
  </si>
  <si>
    <t>MARGEM</t>
  </si>
  <si>
    <t>Coeficiênte</t>
  </si>
  <si>
    <t>valor de venda</t>
  </si>
  <si>
    <t>VALOR REVENDA</t>
  </si>
  <si>
    <t>IPI</t>
  </si>
  <si>
    <t>VALOR REVENDA FINAL</t>
  </si>
  <si>
    <t>EMBALAGEM PAPELÃO</t>
  </si>
  <si>
    <t>EMBALAGEM PLASTICO</t>
  </si>
  <si>
    <t>MÃO-DE-OBRA</t>
  </si>
  <si>
    <t>FRETE</t>
  </si>
  <si>
    <t>COMISSÃO</t>
  </si>
  <si>
    <t>BONIFICAÇÃO / DESP FINACEIRA</t>
  </si>
  <si>
    <t>SOMA DESPESAS</t>
  </si>
  <si>
    <t>SOMA C/ MARGEM</t>
  </si>
  <si>
    <t>PIS E COFINS</t>
  </si>
  <si>
    <t>CSLL</t>
  </si>
  <si>
    <t>IRPJ</t>
  </si>
  <si>
    <t>ICMS</t>
  </si>
  <si>
    <t>(=)</t>
  </si>
  <si>
    <t>ITEM</t>
  </si>
  <si>
    <t>MÃO-DE-OBRA TERCEIRA</t>
  </si>
  <si>
    <t>DESPESAS ADMINISTRATIVA</t>
  </si>
  <si>
    <t>ADMINISTRATIVO</t>
  </si>
  <si>
    <t>QTD</t>
  </si>
  <si>
    <t>VALOR TOTAL</t>
  </si>
  <si>
    <t>FRETE COMPRA</t>
  </si>
  <si>
    <t>FRETE VENDA</t>
  </si>
  <si>
    <t>EMBALAGEM</t>
  </si>
  <si>
    <t>IMPOSTO</t>
  </si>
  <si>
    <t>DES. BOLETO</t>
  </si>
  <si>
    <t>VALOR PARA COEFICIENTE</t>
  </si>
  <si>
    <t>LUCRO POR PRODUTO</t>
  </si>
  <si>
    <t>CUSTOS TOTAIS</t>
  </si>
  <si>
    <t>MARCA TEXTO 12230</t>
  </si>
  <si>
    <t>CUSTO DE AQUISIÇÃO</t>
  </si>
  <si>
    <t>CUSTO DE FRETE DE COMPRA</t>
  </si>
  <si>
    <t>CUSTO DE EMBALAGEM</t>
  </si>
  <si>
    <t>CUSTO DE EXTRA</t>
  </si>
  <si>
    <t>ADM</t>
  </si>
  <si>
    <t>DESCONTO FINA</t>
  </si>
  <si>
    <t>ORÇAMENTO</t>
  </si>
  <si>
    <t>ESCOLHO O PRODUTO</t>
  </si>
  <si>
    <t>VALOR</t>
  </si>
  <si>
    <t>VALOR FIXO</t>
  </si>
  <si>
    <t>VALOR VARIÁVEL</t>
  </si>
  <si>
    <t>CUSTO DE MÃO DE OBRA</t>
  </si>
  <si>
    <t>EXTRAS</t>
  </si>
  <si>
    <t>QTD MÃO OBRA</t>
  </si>
  <si>
    <t>VALOR BRUTO MARGEM</t>
  </si>
  <si>
    <t>CONDIÇÃO DO MAIOR</t>
  </si>
  <si>
    <t>VALOR DO PRODUTO</t>
  </si>
  <si>
    <t>CADASTRO PRODUTO TESTE</t>
  </si>
  <si>
    <t>PRODUTO TESTE</t>
  </si>
  <si>
    <t>HARVARD</t>
  </si>
  <si>
    <t xml:space="preserve"> </t>
  </si>
  <si>
    <t>MRKUP</t>
  </si>
  <si>
    <t>harvard 1</t>
  </si>
  <si>
    <t>harvard 2</t>
  </si>
  <si>
    <t>fator 2</t>
  </si>
  <si>
    <t>fator 1</t>
  </si>
  <si>
    <t>QUANTIDADE</t>
  </si>
  <si>
    <t>SUBTOTAL H1</t>
  </si>
  <si>
    <t>LINHA TOTAIS ABAIXO</t>
  </si>
  <si>
    <t>H1</t>
  </si>
  <si>
    <t>H2</t>
  </si>
  <si>
    <t>DESCONTO FINANCEIRO</t>
  </si>
  <si>
    <t>SUBTOTAL H2</t>
  </si>
  <si>
    <t>SOMA</t>
  </si>
  <si>
    <t>VALOR INDIVIDUAL</t>
  </si>
  <si>
    <t>MM</t>
  </si>
  <si>
    <t>MI</t>
  </si>
  <si>
    <t>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</si>
</sst>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\ * #,##0.000_-;\-&quot;R$&quot;\ * #,##0.000_-;_-&quot;R$&quot;\ * &quot;-&quot;??_-;_-@_-"/>
    <numFmt numFmtId="165" formatCode="_-&quot;R$&quot;\ * #,##0.00000_-;\-&quot;R$&quot;\ * #,##0.00000_-;_-&quot;R$&quot;\ * &quot;-&quot;??_-;_-@_-"/>
    <numFmt numFmtId="166" formatCode="_-&quot;R$&quot;\ * #,##0.00000_-;\-&quot;R$&quot;\ * #,##0.00000_-;_-&quot;R$&quot;\ * &quot;-&quot;???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00B050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Symbol"/>
      <family val="1"/>
      <charset val="2"/>
    </font>
    <font>
      <sz val="7"/>
      <color theme="1"/>
      <name val="Arial"/>
      <family val="2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sz val="9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Arial"/>
      <family val="2"/>
    </font>
    <font>
      <sz val="9"/>
      <color rgb="FF00B050"/>
      <name val="Calibri"/>
      <family val="2"/>
      <scheme val="minor"/>
    </font>
    <font>
      <b/>
      <sz val="9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4" borderId="4" xfId="0" applyFill="1" applyBorder="1"/>
    <xf numFmtId="0" fontId="4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9" fontId="6" fillId="4" borderId="4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4" fontId="3" fillId="4" borderId="4" xfId="1" applyFont="1" applyFill="1" applyBorder="1" applyAlignment="1">
      <alignment horizontal="center" vertical="center"/>
    </xf>
    <xf numFmtId="0" fontId="0" fillId="3" borderId="4" xfId="0" applyFill="1" applyBorder="1"/>
    <xf numFmtId="9" fontId="3" fillId="4" borderId="4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 indent="3"/>
    </xf>
    <xf numFmtId="8" fontId="9" fillId="0" borderId="4" xfId="0" applyNumberFormat="1" applyFont="1" applyBorder="1" applyAlignment="1">
      <alignment vertical="center" wrapText="1"/>
    </xf>
    <xf numFmtId="9" fontId="9" fillId="0" borderId="4" xfId="0" applyNumberFormat="1" applyFont="1" applyBorder="1" applyAlignment="1">
      <alignment vertical="center" wrapText="1"/>
    </xf>
    <xf numFmtId="2" fontId="10" fillId="0" borderId="4" xfId="0" applyNumberFormat="1" applyFont="1" applyBorder="1"/>
    <xf numFmtId="44" fontId="11" fillId="0" borderId="4" xfId="1" applyFont="1" applyBorder="1"/>
    <xf numFmtId="9" fontId="0" fillId="0" borderId="4" xfId="0" applyNumberFormat="1" applyBorder="1"/>
    <xf numFmtId="44" fontId="0" fillId="0" borderId="4" xfId="1" applyFont="1" applyBorder="1"/>
    <xf numFmtId="44" fontId="0" fillId="0" borderId="4" xfId="0" applyNumberFormat="1" applyBorder="1"/>
    <xf numFmtId="44" fontId="0" fillId="3" borderId="4" xfId="0" applyNumberFormat="1" applyFill="1" applyBorder="1"/>
    <xf numFmtId="44" fontId="0" fillId="0" borderId="4" xfId="1" applyFont="1" applyBorder="1" applyAlignment="1">
      <alignment horizontal="center"/>
    </xf>
    <xf numFmtId="10" fontId="0" fillId="0" borderId="4" xfId="0" applyNumberFormat="1" applyBorder="1"/>
    <xf numFmtId="164" fontId="0" fillId="0" borderId="4" xfId="1" applyNumberFormat="1" applyFont="1" applyBorder="1"/>
    <xf numFmtId="0" fontId="2" fillId="0" borderId="0" xfId="0" applyFont="1"/>
    <xf numFmtId="44" fontId="2" fillId="0" borderId="0" xfId="1" applyFont="1"/>
    <xf numFmtId="0" fontId="2" fillId="3" borderId="0" xfId="0" applyFont="1" applyFill="1"/>
    <xf numFmtId="10" fontId="3" fillId="4" borderId="4" xfId="0" applyNumberFormat="1" applyFont="1" applyFill="1" applyBorder="1" applyAlignment="1">
      <alignment horizontal="center" vertical="center"/>
    </xf>
    <xf numFmtId="9" fontId="0" fillId="0" borderId="0" xfId="0" applyNumberFormat="1"/>
    <xf numFmtId="0" fontId="7" fillId="6" borderId="4" xfId="0" applyFont="1" applyFill="1" applyBorder="1" applyAlignment="1" applyProtection="1">
      <alignment vertical="center" wrapText="1"/>
      <protection locked="0"/>
    </xf>
    <xf numFmtId="0" fontId="7" fillId="6" borderId="4" xfId="0" applyFont="1" applyFill="1" applyBorder="1" applyAlignment="1" applyProtection="1">
      <alignment horizontal="left" vertical="center" wrapText="1" indent="3"/>
      <protection locked="0"/>
    </xf>
    <xf numFmtId="9" fontId="12" fillId="6" borderId="4" xfId="0" applyNumberFormat="1" applyFont="1" applyFill="1" applyBorder="1" applyAlignment="1" applyProtection="1">
      <alignment horizontal="center" vertical="center"/>
      <protection locked="0"/>
    </xf>
    <xf numFmtId="44" fontId="16" fillId="6" borderId="4" xfId="1" applyFont="1" applyFill="1" applyBorder="1" applyAlignment="1" applyProtection="1">
      <alignment horizontal="center"/>
      <protection locked="0"/>
    </xf>
    <xf numFmtId="44" fontId="7" fillId="6" borderId="4" xfId="1" applyFont="1" applyFill="1" applyBorder="1" applyAlignment="1" applyProtection="1">
      <alignment vertical="center" wrapText="1"/>
      <protection locked="0"/>
    </xf>
    <xf numFmtId="44" fontId="19" fillId="6" borderId="4" xfId="1" applyFont="1" applyFill="1" applyBorder="1" applyProtection="1">
      <protection locked="0"/>
    </xf>
    <xf numFmtId="0" fontId="12" fillId="7" borderId="0" xfId="0" applyFont="1" applyFill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6" fillId="0" borderId="0" xfId="0" applyFont="1"/>
    <xf numFmtId="44" fontId="17" fillId="7" borderId="4" xfId="0" applyNumberFormat="1" applyFont="1" applyFill="1" applyBorder="1"/>
    <xf numFmtId="0" fontId="18" fillId="7" borderId="4" xfId="0" applyFont="1" applyFill="1" applyBorder="1"/>
    <xf numFmtId="0" fontId="14" fillId="7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/>
    </xf>
    <xf numFmtId="0" fontId="16" fillId="7" borderId="4" xfId="0" applyFont="1" applyFill="1" applyBorder="1"/>
    <xf numFmtId="0" fontId="14" fillId="5" borderId="4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9" fontId="17" fillId="7" borderId="4" xfId="0" applyNumberFormat="1" applyFont="1" applyFill="1" applyBorder="1" applyAlignment="1">
      <alignment horizontal="center" vertical="center"/>
    </xf>
    <xf numFmtId="9" fontId="20" fillId="7" borderId="4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9" fontId="12" fillId="4" borderId="4" xfId="0" applyNumberFormat="1" applyFont="1" applyFill="1" applyBorder="1" applyAlignment="1">
      <alignment horizontal="center" vertical="center"/>
    </xf>
    <xf numFmtId="0" fontId="16" fillId="8" borderId="0" xfId="0" applyFont="1" applyFill="1"/>
    <xf numFmtId="0" fontId="12" fillId="4" borderId="4" xfId="0" applyFont="1" applyFill="1" applyBorder="1" applyAlignment="1">
      <alignment horizontal="center" vertical="center" wrapText="1"/>
    </xf>
    <xf numFmtId="10" fontId="16" fillId="4" borderId="4" xfId="0" applyNumberFormat="1" applyFont="1" applyFill="1" applyBorder="1"/>
    <xf numFmtId="44" fontId="16" fillId="7" borderId="4" xfId="1" applyFont="1" applyFill="1" applyBorder="1" applyProtection="1"/>
    <xf numFmtId="9" fontId="7" fillId="7" borderId="4" xfId="0" applyNumberFormat="1" applyFont="1" applyFill="1" applyBorder="1" applyAlignment="1">
      <alignment vertical="center" wrapText="1"/>
    </xf>
    <xf numFmtId="10" fontId="17" fillId="7" borderId="4" xfId="2" applyNumberFormat="1" applyFont="1" applyFill="1" applyBorder="1" applyProtection="1"/>
    <xf numFmtId="8" fontId="7" fillId="5" borderId="4" xfId="0" applyNumberFormat="1" applyFont="1" applyFill="1" applyBorder="1" applyAlignment="1">
      <alignment vertical="center" wrapText="1"/>
    </xf>
    <xf numFmtId="44" fontId="17" fillId="7" borderId="4" xfId="1" applyFont="1" applyFill="1" applyBorder="1" applyProtection="1"/>
    <xf numFmtId="44" fontId="20" fillId="7" borderId="4" xfId="1" applyFont="1" applyFill="1" applyBorder="1" applyProtection="1"/>
    <xf numFmtId="44" fontId="16" fillId="7" borderId="4" xfId="0" applyNumberFormat="1" applyFont="1" applyFill="1" applyBorder="1"/>
    <xf numFmtId="44" fontId="16" fillId="0" borderId="4" xfId="1" applyFont="1" applyBorder="1" applyAlignment="1" applyProtection="1">
      <alignment horizontal="center"/>
    </xf>
    <xf numFmtId="44" fontId="16" fillId="0" borderId="4" xfId="1" applyFont="1" applyBorder="1" applyProtection="1"/>
    <xf numFmtId="44" fontId="16" fillId="0" borderId="0" xfId="0" applyNumberFormat="1" applyFont="1"/>
    <xf numFmtId="10" fontId="16" fillId="0" borderId="4" xfId="0" applyNumberFormat="1" applyFont="1" applyBorder="1"/>
    <xf numFmtId="164" fontId="16" fillId="0" borderId="4" xfId="1" applyNumberFormat="1" applyFont="1" applyBorder="1" applyProtection="1"/>
    <xf numFmtId="0" fontId="7" fillId="0" borderId="0" xfId="0" applyFont="1"/>
    <xf numFmtId="0" fontId="17" fillId="0" borderId="0" xfId="0" applyFont="1"/>
    <xf numFmtId="44" fontId="20" fillId="7" borderId="4" xfId="0" applyNumberFormat="1" applyFont="1" applyFill="1" applyBorder="1"/>
    <xf numFmtId="0" fontId="21" fillId="7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9" fontId="12" fillId="4" borderId="0" xfId="0" applyNumberFormat="1" applyFont="1" applyFill="1" applyAlignment="1">
      <alignment horizontal="center" vertical="center"/>
    </xf>
    <xf numFmtId="44" fontId="16" fillId="0" borderId="0" xfId="1" applyFont="1" applyBorder="1" applyProtection="1"/>
    <xf numFmtId="0" fontId="0" fillId="9" borderId="0" xfId="0" applyFill="1"/>
    <xf numFmtId="44" fontId="0" fillId="0" borderId="0" xfId="0" applyNumberFormat="1"/>
    <xf numFmtId="44" fontId="0" fillId="10" borderId="0" xfId="1" applyFont="1" applyFill="1"/>
    <xf numFmtId="0" fontId="0" fillId="10" borderId="0" xfId="0" applyFill="1"/>
    <xf numFmtId="44" fontId="0" fillId="5" borderId="0" xfId="0" applyNumberFormat="1" applyFill="1"/>
    <xf numFmtId="0" fontId="0" fillId="10" borderId="7" xfId="0" applyFill="1" applyBorder="1"/>
    <xf numFmtId="44" fontId="0" fillId="5" borderId="8" xfId="0" applyNumberFormat="1" applyFill="1" applyBorder="1"/>
    <xf numFmtId="44" fontId="0" fillId="10" borderId="9" xfId="0" applyNumberFormat="1" applyFill="1" applyBorder="1"/>
    <xf numFmtId="0" fontId="0" fillId="0" borderId="11" xfId="0" applyBorder="1"/>
    <xf numFmtId="0" fontId="0" fillId="10" borderId="6" xfId="0" applyFill="1" applyBorder="1"/>
    <xf numFmtId="44" fontId="0" fillId="10" borderId="8" xfId="0" applyNumberFormat="1" applyFill="1" applyBorder="1"/>
    <xf numFmtId="0" fontId="0" fillId="0" borderId="10" xfId="0" applyBorder="1"/>
    <xf numFmtId="0" fontId="0" fillId="10" borderId="12" xfId="0" applyFill="1" applyBorder="1"/>
    <xf numFmtId="9" fontId="0" fillId="10" borderId="0" xfId="0" applyNumberFormat="1" applyFill="1"/>
    <xf numFmtId="44" fontId="0" fillId="10" borderId="9" xfId="1" applyFont="1" applyFill="1" applyBorder="1"/>
    <xf numFmtId="0" fontId="0" fillId="0" borderId="13" xfId="0" applyBorder="1"/>
    <xf numFmtId="44" fontId="0" fillId="11" borderId="5" xfId="0" applyNumberFormat="1" applyFill="1" applyBorder="1"/>
    <xf numFmtId="44" fontId="0" fillId="11" borderId="5" xfId="1" applyFont="1" applyFill="1" applyBorder="1"/>
    <xf numFmtId="0" fontId="0" fillId="11" borderId="6" xfId="0" applyFill="1" applyBorder="1"/>
    <xf numFmtId="44" fontId="0" fillId="11" borderId="8" xfId="0" applyNumberFormat="1" applyFill="1" applyBorder="1"/>
    <xf numFmtId="44" fontId="0" fillId="11" borderId="10" xfId="0" applyNumberFormat="1" applyFill="1" applyBorder="1"/>
    <xf numFmtId="0" fontId="0" fillId="12" borderId="0" xfId="0" applyFill="1"/>
    <xf numFmtId="44" fontId="0" fillId="5" borderId="14" xfId="1" applyFont="1" applyFill="1" applyBorder="1"/>
    <xf numFmtId="44" fontId="0" fillId="5" borderId="15" xfId="1" applyFont="1" applyFill="1" applyBorder="1"/>
    <xf numFmtId="44" fontId="0" fillId="9" borderId="0" xfId="1" applyFont="1" applyFill="1"/>
    <xf numFmtId="0" fontId="0" fillId="13" borderId="0" xfId="0" applyFill="1"/>
    <xf numFmtId="44" fontId="0" fillId="13" borderId="0" xfId="1" applyFont="1" applyFill="1"/>
    <xf numFmtId="0" fontId="0" fillId="14" borderId="0" xfId="0" applyFill="1"/>
    <xf numFmtId="44" fontId="0" fillId="14" borderId="0" xfId="0" applyNumberFormat="1" applyFill="1"/>
    <xf numFmtId="9" fontId="0" fillId="13" borderId="0" xfId="0" applyNumberFormat="1" applyFill="1"/>
    <xf numFmtId="44" fontId="0" fillId="11" borderId="0" xfId="0" applyNumberFormat="1" applyFill="1"/>
    <xf numFmtId="0" fontId="0" fillId="5" borderId="4" xfId="0" applyFill="1" applyBorder="1"/>
    <xf numFmtId="0" fontId="0" fillId="0" borderId="20" xfId="0" applyBorder="1"/>
    <xf numFmtId="0" fontId="0" fillId="14" borderId="16" xfId="0" applyFill="1" applyBorder="1"/>
    <xf numFmtId="0" fontId="0" fillId="14" borderId="17" xfId="0" applyFill="1" applyBorder="1"/>
    <xf numFmtId="44" fontId="0" fillId="14" borderId="17" xfId="0" applyNumberFormat="1" applyFill="1" applyBorder="1"/>
    <xf numFmtId="44" fontId="0" fillId="14" borderId="19" xfId="0" applyNumberFormat="1" applyFill="1" applyBorder="1"/>
    <xf numFmtId="44" fontId="0" fillId="14" borderId="16" xfId="0" applyNumberFormat="1" applyFill="1" applyBorder="1"/>
    <xf numFmtId="9" fontId="0" fillId="14" borderId="17" xfId="0" applyNumberFormat="1" applyFill="1" applyBorder="1"/>
    <xf numFmtId="44" fontId="0" fillId="14" borderId="18" xfId="1" applyFont="1" applyFill="1" applyBorder="1"/>
    <xf numFmtId="44" fontId="0" fillId="14" borderId="18" xfId="0" applyNumberFormat="1" applyFill="1" applyBorder="1"/>
    <xf numFmtId="0" fontId="0" fillId="15" borderId="6" xfId="0" applyFill="1" applyBorder="1"/>
    <xf numFmtId="0" fontId="0" fillId="15" borderId="12" xfId="0" applyFill="1" applyBorder="1"/>
    <xf numFmtId="0" fontId="0" fillId="15" borderId="7" xfId="0" applyFill="1" applyBorder="1"/>
    <xf numFmtId="44" fontId="0" fillId="15" borderId="8" xfId="0" applyNumberFormat="1" applyFill="1" applyBorder="1"/>
    <xf numFmtId="44" fontId="0" fillId="15" borderId="0" xfId="0" applyNumberFormat="1" applyFill="1"/>
    <xf numFmtId="9" fontId="0" fillId="15" borderId="0" xfId="0" applyNumberFormat="1" applyFill="1"/>
    <xf numFmtId="44" fontId="0" fillId="15" borderId="9" xfId="1" applyFont="1" applyFill="1" applyBorder="1"/>
    <xf numFmtId="44" fontId="0" fillId="15" borderId="9" xfId="0" applyNumberFormat="1" applyFill="1" applyBorder="1"/>
    <xf numFmtId="0" fontId="0" fillId="13" borderId="21" xfId="0" applyFill="1" applyBorder="1"/>
    <xf numFmtId="44" fontId="0" fillId="13" borderId="22" xfId="1" applyFont="1" applyFill="1" applyBorder="1"/>
    <xf numFmtId="0" fontId="0" fillId="13" borderId="25" xfId="0" applyFill="1" applyBorder="1"/>
    <xf numFmtId="44" fontId="0" fillId="13" borderId="26" xfId="1" applyFont="1" applyFill="1" applyBorder="1"/>
    <xf numFmtId="0" fontId="0" fillId="13" borderId="27" xfId="0" applyFill="1" applyBorder="1"/>
    <xf numFmtId="44" fontId="0" fillId="13" borderId="28" xfId="1" applyFont="1" applyFill="1" applyBorder="1"/>
    <xf numFmtId="0" fontId="0" fillId="13" borderId="16" xfId="0" applyFill="1" applyBorder="1"/>
    <xf numFmtId="0" fontId="2" fillId="13" borderId="5" xfId="0" applyFont="1" applyFill="1" applyBorder="1"/>
    <xf numFmtId="44" fontId="2" fillId="0" borderId="0" xfId="0" applyNumberFormat="1" applyFont="1"/>
    <xf numFmtId="0" fontId="0" fillId="12" borderId="23" xfId="0" applyFill="1" applyBorder="1"/>
    <xf numFmtId="44" fontId="0" fillId="12" borderId="24" xfId="1" applyFont="1" applyFill="1" applyBorder="1"/>
    <xf numFmtId="0" fontId="0" fillId="16" borderId="0" xfId="0" applyFill="1"/>
    <xf numFmtId="44" fontId="0" fillId="16" borderId="6" xfId="1" applyFont="1" applyFill="1" applyBorder="1"/>
    <xf numFmtId="44" fontId="0" fillId="16" borderId="7" xfId="0" applyNumberFormat="1" applyFill="1" applyBorder="1"/>
    <xf numFmtId="44" fontId="0" fillId="16" borderId="25" xfId="1" applyFont="1" applyFill="1" applyBorder="1"/>
    <xf numFmtId="44" fontId="0" fillId="16" borderId="26" xfId="0" applyNumberFormat="1" applyFill="1" applyBorder="1"/>
    <xf numFmtId="44" fontId="0" fillId="16" borderId="27" xfId="1" applyFont="1" applyFill="1" applyBorder="1"/>
    <xf numFmtId="44" fontId="0" fillId="16" borderId="28" xfId="0" applyNumberFormat="1" applyFill="1" applyBorder="1"/>
    <xf numFmtId="44" fontId="0" fillId="16" borderId="21" xfId="1" applyFont="1" applyFill="1" applyBorder="1"/>
    <xf numFmtId="44" fontId="0" fillId="16" borderId="22" xfId="0" applyNumberFormat="1" applyFill="1" applyBorder="1"/>
    <xf numFmtId="44" fontId="2" fillId="8" borderId="18" xfId="0" applyNumberFormat="1" applyFont="1" applyFill="1" applyBorder="1"/>
    <xf numFmtId="0" fontId="2" fillId="8" borderId="29" xfId="0" applyFont="1" applyFill="1" applyBorder="1"/>
    <xf numFmtId="44" fontId="2" fillId="8" borderId="16" xfId="0" applyNumberFormat="1" applyFont="1" applyFill="1" applyBorder="1"/>
    <xf numFmtId="0" fontId="0" fillId="13" borderId="14" xfId="0" applyFill="1" applyBorder="1"/>
    <xf numFmtId="44" fontId="0" fillId="13" borderId="15" xfId="1" applyFont="1" applyFill="1" applyBorder="1"/>
    <xf numFmtId="0" fontId="0" fillId="17" borderId="0" xfId="0" applyFill="1"/>
    <xf numFmtId="0" fontId="2" fillId="14" borderId="0" xfId="0" applyFont="1" applyFill="1"/>
    <xf numFmtId="0" fontId="0" fillId="18" borderId="14" xfId="0" applyFill="1" applyBorder="1" applyAlignment="1">
      <alignment horizontal="center"/>
    </xf>
    <xf numFmtId="0" fontId="0" fillId="18" borderId="15" xfId="0" applyFill="1" applyBorder="1" applyAlignment="1">
      <alignment horizontal="center"/>
    </xf>
    <xf numFmtId="0" fontId="0" fillId="2" borderId="0" xfId="0" applyFill="1"/>
    <xf numFmtId="44" fontId="2" fillId="5" borderId="0" xfId="0" applyNumberFormat="1" applyFont="1" applyFill="1"/>
    <xf numFmtId="44" fontId="0" fillId="19" borderId="0" xfId="1" applyFont="1" applyFill="1"/>
    <xf numFmtId="44" fontId="2" fillId="19" borderId="0" xfId="1" applyFont="1" applyFill="1"/>
    <xf numFmtId="165" fontId="0" fillId="5" borderId="0" xfId="0" applyNumberFormat="1" applyFill="1"/>
    <xf numFmtId="0" fontId="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6" borderId="0" xfId="0" applyFill="1" applyAlignment="1">
      <alignment horizontal="center"/>
    </xf>
    <xf numFmtId="0" fontId="0" fillId="5" borderId="0" xfId="0" applyFill="1" applyBorder="1"/>
    <xf numFmtId="166" fontId="0" fillId="0" borderId="0" xfId="0" applyNumberFormat="1"/>
    <xf numFmtId="44" fontId="0" fillId="17" borderId="0" xfId="0" applyNumberFormat="1" applyFill="1"/>
    <xf numFmtId="44" fontId="2" fillId="8" borderId="29" xfId="0" applyNumberFormat="1" applyFont="1" applyFill="1" applyBorder="1"/>
    <xf numFmtId="44" fontId="0" fillId="13" borderId="0" xfId="0" applyNumberFormat="1" applyFill="1"/>
    <xf numFmtId="0" fontId="0" fillId="20" borderId="0" xfId="0" applyFill="1"/>
    <xf numFmtId="44" fontId="0" fillId="20" borderId="0" xfId="0" applyNumberFormat="1" applyFill="1"/>
    <xf numFmtId="0" fontId="0" fillId="21" borderId="0" xfId="0" applyFill="1"/>
    <xf numFmtId="0" fontId="0" fillId="21" borderId="0" xfId="0" applyFill="1" applyAlignment="1">
      <alignment horizontal="center"/>
    </xf>
    <xf numFmtId="0" fontId="0" fillId="21" borderId="23" xfId="0" applyFill="1" applyBorder="1"/>
    <xf numFmtId="44" fontId="0" fillId="21" borderId="24" xfId="1" applyFont="1" applyFill="1" applyBorder="1"/>
    <xf numFmtId="44" fontId="0" fillId="21" borderId="0" xfId="1" applyFont="1" applyFill="1"/>
    <xf numFmtId="44" fontId="0" fillId="21" borderId="6" xfId="1" applyFont="1" applyFill="1" applyBorder="1"/>
    <xf numFmtId="44" fontId="0" fillId="21" borderId="7" xfId="0" applyNumberFormat="1" applyFill="1" applyBorder="1"/>
    <xf numFmtId="0" fontId="0" fillId="21" borderId="25" xfId="0" applyFill="1" applyBorder="1"/>
    <xf numFmtId="0" fontId="0" fillId="21" borderId="26" xfId="1" applyNumberFormat="1" applyFont="1" applyFill="1" applyBorder="1"/>
    <xf numFmtId="44" fontId="0" fillId="21" borderId="25" xfId="1" applyFont="1" applyFill="1" applyBorder="1"/>
    <xf numFmtId="44" fontId="0" fillId="21" borderId="26" xfId="0" applyNumberFormat="1" applyFill="1" applyBorder="1"/>
    <xf numFmtId="0" fontId="0" fillId="21" borderId="16" xfId="0" applyFill="1" applyBorder="1"/>
    <xf numFmtId="44" fontId="2" fillId="21" borderId="18" xfId="0" applyNumberFormat="1" applyFont="1" applyFill="1" applyBorder="1"/>
    <xf numFmtId="44" fontId="2" fillId="21" borderId="29" xfId="0" applyNumberFormat="1" applyFont="1" applyFill="1" applyBorder="1"/>
    <xf numFmtId="44" fontId="2" fillId="21" borderId="16" xfId="0" applyNumberFormat="1" applyFont="1" applyFill="1" applyBorder="1"/>
    <xf numFmtId="0" fontId="0" fillId="23" borderId="4" xfId="0" applyFill="1" applyBorder="1"/>
    <xf numFmtId="44" fontId="0" fillId="23" borderId="4" xfId="0" applyNumberFormat="1" applyFill="1" applyBorder="1"/>
    <xf numFmtId="10" fontId="0" fillId="0" borderId="0" xfId="2" applyNumberFormat="1" applyFont="1"/>
    <xf numFmtId="0" fontId="0" fillId="22" borderId="4" xfId="0" applyFill="1" applyBorder="1"/>
    <xf numFmtId="9" fontId="0" fillId="22" borderId="4" xfId="0" applyNumberFormat="1" applyFill="1" applyBorder="1"/>
    <xf numFmtId="44" fontId="0" fillId="22" borderId="4" xfId="0" applyNumberFormat="1" applyFill="1" applyBorder="1"/>
    <xf numFmtId="10" fontId="0" fillId="22" borderId="4" xfId="0" applyNumberFormat="1" applyFill="1" applyBorder="1"/>
    <xf numFmtId="0" fontId="0" fillId="24" borderId="4" xfId="0" applyFill="1" applyBorder="1"/>
    <xf numFmtId="44" fontId="0" fillId="24" borderId="4" xfId="0" applyNumberFormat="1" applyFill="1" applyBorder="1"/>
    <xf numFmtId="0" fontId="0" fillId="25" borderId="4" xfId="0" applyFill="1" applyBorder="1"/>
    <xf numFmtId="44" fontId="0" fillId="25" borderId="4" xfId="0" applyNumberFormat="1" applyFill="1" applyBorder="1"/>
    <xf numFmtId="0" fontId="0" fillId="5" borderId="1" xfId="0" applyFill="1" applyBorder="1"/>
    <xf numFmtId="0" fontId="0" fillId="15" borderId="4" xfId="0" applyFill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7B2A-3564-44AC-B306-AB1FD2011503}">
  <dimension ref="A1:AA17"/>
  <sheetViews>
    <sheetView showGridLines="0" workbookViewId="0">
      <pane xSplit="2" ySplit="2" topLeftCell="L3" activePane="bottomRight" state="frozen"/>
      <selection pane="topRight" activeCell="C1" sqref="C1"/>
      <selection pane="bottomLeft" activeCell="A3" sqref="A3"/>
      <selection pane="bottomRight" activeCell="O3" sqref="O3"/>
    </sheetView>
  </sheetViews>
  <sheetFormatPr defaultRowHeight="15" x14ac:dyDescent="0.25"/>
  <cols>
    <col min="1" max="1" width="7" bestFit="1" customWidth="1"/>
    <col min="2" max="2" width="64.140625" customWidth="1"/>
    <col min="3" max="3" width="9.5703125" bestFit="1" customWidth="1"/>
    <col min="4" max="4" width="9.140625" customWidth="1"/>
    <col min="5" max="5" width="11.28515625" customWidth="1"/>
    <col min="6" max="7" width="12.5703125" style="34" customWidth="1"/>
    <col min="8" max="8" width="4.28515625" style="34" customWidth="1"/>
    <col min="9" max="9" width="8.5703125" style="35" hidden="1" customWidth="1"/>
    <col min="10" max="10" width="12.5703125" style="34" customWidth="1"/>
    <col min="11" max="11" width="2.85546875" style="36" customWidth="1"/>
    <col min="12" max="12" width="12.7109375" customWidth="1"/>
    <col min="13" max="13" width="13" customWidth="1"/>
    <col min="14" max="14" width="13.7109375" customWidth="1"/>
    <col min="15" max="15" width="12.140625" customWidth="1"/>
    <col min="16" max="16" width="10.5703125" customWidth="1"/>
    <col min="17" max="18" width="13.28515625" customWidth="1"/>
    <col min="19" max="19" width="12.42578125" customWidth="1"/>
    <col min="20" max="20" width="9.5703125" customWidth="1"/>
    <col min="21" max="21" width="12.42578125" customWidth="1"/>
    <col min="22" max="22" width="9.140625" customWidth="1"/>
    <col min="23" max="26" width="10.5703125" customWidth="1"/>
    <col min="27" max="28" width="9.5703125" customWidth="1"/>
    <col min="29" max="30" width="9.140625" customWidth="1"/>
    <col min="31" max="31" width="10.7109375" customWidth="1"/>
  </cols>
  <sheetData>
    <row r="1" spans="1:27" ht="45" x14ac:dyDescent="0.25">
      <c r="B1" s="1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4" t="s">
        <v>5</v>
      </c>
      <c r="H1" s="173" t="s">
        <v>6</v>
      </c>
      <c r="I1" s="173"/>
      <c r="J1" s="5" t="s">
        <v>7</v>
      </c>
      <c r="K1" s="6"/>
      <c r="L1" s="7" t="s">
        <v>8</v>
      </c>
      <c r="M1" s="7" t="s">
        <v>9</v>
      </c>
      <c r="N1" s="7" t="s">
        <v>22</v>
      </c>
      <c r="O1" s="8" t="s">
        <v>11</v>
      </c>
      <c r="P1" s="8" t="s">
        <v>12</v>
      </c>
      <c r="Q1" s="7" t="s">
        <v>13</v>
      </c>
      <c r="R1" s="7" t="s">
        <v>23</v>
      </c>
      <c r="S1" s="7" t="s">
        <v>14</v>
      </c>
      <c r="T1" s="7" t="s">
        <v>2</v>
      </c>
      <c r="U1" s="7" t="s">
        <v>15</v>
      </c>
      <c r="V1" s="173" t="s">
        <v>16</v>
      </c>
      <c r="W1" s="173"/>
      <c r="X1" s="9"/>
      <c r="Y1" s="9" t="s">
        <v>17</v>
      </c>
      <c r="Z1" s="9" t="s">
        <v>18</v>
      </c>
      <c r="AA1" s="10" t="s">
        <v>19</v>
      </c>
    </row>
    <row r="2" spans="1:27" x14ac:dyDescent="0.25">
      <c r="A2" s="11"/>
      <c r="B2" s="12"/>
      <c r="C2" s="13"/>
      <c r="D2" s="13"/>
      <c r="E2" s="13">
        <v>0.43099999999999999</v>
      </c>
      <c r="F2" s="13"/>
      <c r="G2" s="14"/>
      <c r="H2" s="15"/>
      <c r="I2" s="16"/>
      <c r="J2" s="11"/>
      <c r="K2" s="17"/>
      <c r="L2" s="15"/>
      <c r="M2" s="15"/>
      <c r="N2" s="15"/>
      <c r="O2" s="18">
        <v>0</v>
      </c>
      <c r="P2" s="18">
        <v>0</v>
      </c>
      <c r="Q2" s="18">
        <v>0.02</v>
      </c>
      <c r="R2" s="18">
        <v>0.25</v>
      </c>
      <c r="S2" s="19" t="s">
        <v>20</v>
      </c>
      <c r="T2" s="19"/>
      <c r="U2" s="19"/>
      <c r="V2" s="37">
        <v>0</v>
      </c>
      <c r="W2" s="15"/>
      <c r="X2" s="18">
        <v>0</v>
      </c>
      <c r="Y2" s="18">
        <v>0</v>
      </c>
      <c r="Z2" s="18">
        <v>0</v>
      </c>
      <c r="AA2" s="20">
        <v>0.06</v>
      </c>
    </row>
    <row r="3" spans="1:27" x14ac:dyDescent="0.25">
      <c r="A3" s="21"/>
      <c r="B3" s="22" t="s">
        <v>21</v>
      </c>
      <c r="C3" s="23">
        <v>0.92</v>
      </c>
      <c r="D3" s="24">
        <v>0.08</v>
      </c>
      <c r="E3" s="23">
        <f>C3/$E$2</f>
        <v>2.1345707656612531</v>
      </c>
      <c r="F3" s="25">
        <f>E3</f>
        <v>2.1345707656612531</v>
      </c>
      <c r="G3" s="26">
        <f>U3+W3+Y3+Z3+AA3</f>
        <v>2.014115081206497</v>
      </c>
      <c r="H3" s="27">
        <v>0</v>
      </c>
      <c r="I3" s="28">
        <f>F3*H3</f>
        <v>0</v>
      </c>
      <c r="J3" s="29">
        <f>G3+I3</f>
        <v>2.014115081206497</v>
      </c>
      <c r="K3" s="30"/>
      <c r="L3" s="31">
        <v>0</v>
      </c>
      <c r="M3" s="31">
        <v>0</v>
      </c>
      <c r="N3" s="31">
        <v>0.25</v>
      </c>
      <c r="O3" s="28">
        <f>F3*$O$2</f>
        <v>0</v>
      </c>
      <c r="P3" s="28">
        <f>F3*$P$2</f>
        <v>0</v>
      </c>
      <c r="Q3" s="28">
        <f>F3*$Q$2</f>
        <v>4.269141531322506E-2</v>
      </c>
      <c r="R3" s="28">
        <f>F3*R2</f>
        <v>0.53364269141531329</v>
      </c>
      <c r="S3" s="28">
        <f>Q3+P3+O3+N3+M3+L3+C3+R3</f>
        <v>1.7463341067285385</v>
      </c>
      <c r="T3" s="28">
        <f>S3*D3</f>
        <v>0.13970672853828309</v>
      </c>
      <c r="U3" s="28">
        <f>S3+T3</f>
        <v>1.8860408352668216</v>
      </c>
      <c r="V3" s="32">
        <v>3.6499999999999998E-2</v>
      </c>
      <c r="W3" s="33">
        <f>$V$2*U3/1</f>
        <v>0</v>
      </c>
      <c r="X3" s="33">
        <f>F3*$X$2</f>
        <v>0</v>
      </c>
      <c r="Y3" s="33">
        <f>X3*$Y$2</f>
        <v>0</v>
      </c>
      <c r="Z3" s="33">
        <f>X3*$Z$2</f>
        <v>0</v>
      </c>
      <c r="AA3" s="28">
        <f>$AA$2*F3</f>
        <v>0.12807424593967517</v>
      </c>
    </row>
    <row r="4" spans="1:27" x14ac:dyDescent="0.25">
      <c r="A4" s="21"/>
      <c r="B4" s="22"/>
      <c r="C4" s="23"/>
      <c r="D4" s="24">
        <v>0.15</v>
      </c>
      <c r="E4" s="23">
        <f t="shared" ref="E4:E6" si="0">C4/$E$2</f>
        <v>0</v>
      </c>
      <c r="F4" s="25">
        <f t="shared" ref="F4:F6" si="1">E4</f>
        <v>0</v>
      </c>
      <c r="G4" s="26">
        <f>U4+W4+Y4+Z4+AA4</f>
        <v>0</v>
      </c>
      <c r="H4" s="27">
        <v>0</v>
      </c>
      <c r="I4" s="28">
        <f>F4*H4</f>
        <v>0</v>
      </c>
      <c r="J4" s="29">
        <f t="shared" ref="J4:J6" si="2">G4+I4</f>
        <v>0</v>
      </c>
      <c r="K4" s="30"/>
      <c r="L4" s="31">
        <v>0</v>
      </c>
      <c r="M4" s="31">
        <v>0</v>
      </c>
      <c r="N4" s="31">
        <v>0</v>
      </c>
      <c r="O4" s="28">
        <f>F4*$O$2</f>
        <v>0</v>
      </c>
      <c r="P4" s="28">
        <f>F4*$P$2</f>
        <v>0</v>
      </c>
      <c r="Q4" s="28">
        <f>F4*$Q$2</f>
        <v>0</v>
      </c>
      <c r="R4" s="28"/>
      <c r="S4" s="28">
        <f>Q4+P4+O4+N4+M4+L4+C4</f>
        <v>0</v>
      </c>
      <c r="T4" s="28">
        <f>S4*D4</f>
        <v>0</v>
      </c>
      <c r="U4" s="28">
        <f t="shared" ref="U4:U6" si="3">S4+T4</f>
        <v>0</v>
      </c>
      <c r="V4" s="32">
        <v>3.6499999999999998E-2</v>
      </c>
      <c r="W4" s="33">
        <f t="shared" ref="W4:W6" si="4">$V$2*U4/1</f>
        <v>0</v>
      </c>
      <c r="X4" s="33">
        <f t="shared" ref="X4:X6" si="5">F4*$X$2</f>
        <v>0</v>
      </c>
      <c r="Y4" s="33">
        <f t="shared" ref="Y4:Y6" si="6">X4*$Y$2</f>
        <v>0</v>
      </c>
      <c r="Z4" s="33">
        <f t="shared" ref="Z4:Z6" si="7">X4*$Z$2</f>
        <v>0</v>
      </c>
      <c r="AA4" s="28">
        <f>$AA$2*F4</f>
        <v>0</v>
      </c>
    </row>
    <row r="5" spans="1:27" x14ac:dyDescent="0.25">
      <c r="A5" s="21"/>
      <c r="B5" s="22"/>
      <c r="C5" s="23"/>
      <c r="D5" s="24">
        <v>0.15</v>
      </c>
      <c r="E5" s="23">
        <f t="shared" si="0"/>
        <v>0</v>
      </c>
      <c r="F5" s="25">
        <f t="shared" si="1"/>
        <v>0</v>
      </c>
      <c r="G5" s="26">
        <f>U5+W5+Y5+Z5+AA5</f>
        <v>0</v>
      </c>
      <c r="H5" s="27">
        <v>0</v>
      </c>
      <c r="I5" s="28">
        <f>F5*H5</f>
        <v>0</v>
      </c>
      <c r="J5" s="29">
        <f t="shared" si="2"/>
        <v>0</v>
      </c>
      <c r="K5" s="30"/>
      <c r="L5" s="31">
        <v>0</v>
      </c>
      <c r="M5" s="31">
        <v>0</v>
      </c>
      <c r="N5" s="31">
        <v>0</v>
      </c>
      <c r="O5" s="28">
        <f>F5*$O$2</f>
        <v>0</v>
      </c>
      <c r="P5" s="28">
        <f>F5*$P$2</f>
        <v>0</v>
      </c>
      <c r="Q5" s="28">
        <f>F5*$Q$2</f>
        <v>0</v>
      </c>
      <c r="R5" s="28"/>
      <c r="S5" s="28">
        <f>Q5+P5+O5+N5+M5+L5+C5</f>
        <v>0</v>
      </c>
      <c r="T5" s="28">
        <f>S5*D5</f>
        <v>0</v>
      </c>
      <c r="U5" s="28">
        <f t="shared" si="3"/>
        <v>0</v>
      </c>
      <c r="V5" s="32">
        <v>3.6499999999999998E-2</v>
      </c>
      <c r="W5" s="33">
        <f t="shared" si="4"/>
        <v>0</v>
      </c>
      <c r="X5" s="33">
        <f t="shared" si="5"/>
        <v>0</v>
      </c>
      <c r="Y5" s="33">
        <f t="shared" si="6"/>
        <v>0</v>
      </c>
      <c r="Z5" s="33">
        <f t="shared" si="7"/>
        <v>0</v>
      </c>
      <c r="AA5" s="28">
        <f>$AA$2*F5</f>
        <v>0</v>
      </c>
    </row>
    <row r="6" spans="1:27" x14ac:dyDescent="0.25">
      <c r="A6" s="21"/>
      <c r="B6" s="22"/>
      <c r="C6" s="23"/>
      <c r="D6" s="24">
        <v>0.15</v>
      </c>
      <c r="E6" s="23">
        <f t="shared" si="0"/>
        <v>0</v>
      </c>
      <c r="F6" s="25">
        <f t="shared" si="1"/>
        <v>0</v>
      </c>
      <c r="G6" s="26">
        <f>U6+W6+Y6+Z6+AA6</f>
        <v>0</v>
      </c>
      <c r="H6" s="27">
        <v>0</v>
      </c>
      <c r="I6" s="28">
        <f>F6*H6</f>
        <v>0</v>
      </c>
      <c r="J6" s="29">
        <f t="shared" si="2"/>
        <v>0</v>
      </c>
      <c r="K6" s="30"/>
      <c r="L6" s="31">
        <v>0</v>
      </c>
      <c r="M6" s="31">
        <v>0</v>
      </c>
      <c r="N6" s="31">
        <v>0</v>
      </c>
      <c r="O6" s="28">
        <f>F6*$O$2</f>
        <v>0</v>
      </c>
      <c r="P6" s="28">
        <f>F6*$P$2</f>
        <v>0</v>
      </c>
      <c r="Q6" s="28">
        <f>F6*$Q$2</f>
        <v>0</v>
      </c>
      <c r="R6" s="28"/>
      <c r="S6" s="28">
        <f>Q6+P6+O6+N6+M6+L6+C6</f>
        <v>0</v>
      </c>
      <c r="T6" s="28">
        <f>S6*D6</f>
        <v>0</v>
      </c>
      <c r="U6" s="28">
        <f t="shared" si="3"/>
        <v>0</v>
      </c>
      <c r="V6" s="32">
        <v>3.6499999999999998E-2</v>
      </c>
      <c r="W6" s="33">
        <f t="shared" si="4"/>
        <v>0</v>
      </c>
      <c r="X6" s="33">
        <f t="shared" si="5"/>
        <v>0</v>
      </c>
      <c r="Y6" s="33">
        <f t="shared" si="6"/>
        <v>0</v>
      </c>
      <c r="Z6" s="33">
        <f t="shared" si="7"/>
        <v>0</v>
      </c>
      <c r="AA6" s="28">
        <f>$AA$2*F6</f>
        <v>0</v>
      </c>
    </row>
    <row r="9" spans="1:27" x14ac:dyDescent="0.25">
      <c r="F9" s="34">
        <f>C3/G3</f>
        <v>0.45677628283727506</v>
      </c>
    </row>
    <row r="10" spans="1:27" x14ac:dyDescent="0.25">
      <c r="R10">
        <v>20000</v>
      </c>
    </row>
    <row r="11" spans="1:27" x14ac:dyDescent="0.25">
      <c r="O11">
        <f>10000/20</f>
        <v>500</v>
      </c>
      <c r="R11" s="38">
        <v>0.12</v>
      </c>
    </row>
    <row r="12" spans="1:27" x14ac:dyDescent="0.25">
      <c r="R12">
        <f>R10*R11</f>
        <v>2400</v>
      </c>
    </row>
    <row r="13" spans="1:27" x14ac:dyDescent="0.25">
      <c r="B13">
        <v>0.92</v>
      </c>
    </row>
    <row r="14" spans="1:27" x14ac:dyDescent="0.25">
      <c r="B14">
        <v>100</v>
      </c>
    </row>
    <row r="15" spans="1:27" x14ac:dyDescent="0.25">
      <c r="B15">
        <v>1000</v>
      </c>
    </row>
    <row r="16" spans="1:27" x14ac:dyDescent="0.25">
      <c r="B16">
        <f>B14/B15</f>
        <v>0.1</v>
      </c>
    </row>
    <row r="17" spans="2:2" x14ac:dyDescent="0.25">
      <c r="B17">
        <f>B13+B16</f>
        <v>1.02</v>
      </c>
    </row>
  </sheetData>
  <mergeCells count="2">
    <mergeCell ref="H1:I1"/>
    <mergeCell ref="V1:W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C8443-C634-4D23-B2FB-C7E68356D6E7}">
  <dimension ref="A1:AE1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O4" sqref="O4"/>
    </sheetView>
  </sheetViews>
  <sheetFormatPr defaultRowHeight="12" x14ac:dyDescent="0.2"/>
  <cols>
    <col min="1" max="1" width="5" style="56" bestFit="1" customWidth="1"/>
    <col min="2" max="2" width="14.28515625" style="83" bestFit="1" customWidth="1"/>
    <col min="3" max="3" width="10.7109375" style="56" customWidth="1"/>
    <col min="4" max="4" width="12.7109375" style="56" customWidth="1"/>
    <col min="5" max="5" width="11.28515625" style="56" customWidth="1"/>
    <col min="6" max="6" width="13.28515625" style="56" bestFit="1" customWidth="1"/>
    <col min="7" max="7" width="10.7109375" style="56" bestFit="1" customWidth="1"/>
    <col min="8" max="8" width="12.140625" style="56" customWidth="1"/>
    <col min="9" max="9" width="12" style="56" customWidth="1"/>
    <col min="10" max="10" width="11.28515625" style="56" customWidth="1"/>
    <col min="11" max="11" width="11.42578125" style="56" customWidth="1"/>
    <col min="12" max="12" width="8.28515625" style="56" customWidth="1"/>
    <col min="13" max="13" width="9.5703125" style="56" bestFit="1" customWidth="1"/>
    <col min="14" max="14" width="11.28515625" style="56" customWidth="1"/>
    <col min="15" max="15" width="13.140625" style="84" customWidth="1"/>
    <col min="16" max="16" width="13.42578125" style="84" customWidth="1"/>
    <col min="17" max="17" width="14.28515625" style="84" bestFit="1" customWidth="1"/>
    <col min="18" max="18" width="13.28515625" style="84" customWidth="1"/>
    <col min="19" max="19" width="12.7109375" style="56" customWidth="1"/>
    <col min="20" max="20" width="9" style="56" customWidth="1"/>
    <col min="21" max="22" width="12.85546875" style="56" customWidth="1"/>
    <col min="23" max="24" width="12.140625" style="56" customWidth="1"/>
    <col min="25" max="25" width="9.5703125" style="56" customWidth="1"/>
    <col min="26" max="26" width="12.140625" style="56" customWidth="1"/>
    <col min="27" max="27" width="8.140625" style="56" customWidth="1"/>
    <col min="28" max="31" width="7.7109375" style="56" customWidth="1"/>
    <col min="32" max="33" width="9.5703125" style="56" customWidth="1"/>
    <col min="34" max="35" width="9.140625" style="56" customWidth="1"/>
    <col min="36" max="36" width="10.7109375" style="56" customWidth="1"/>
    <col min="37" max="16384" width="9.140625" style="56"/>
  </cols>
  <sheetData>
    <row r="1" spans="1:31" ht="36" x14ac:dyDescent="0.2">
      <c r="A1" s="45" t="s">
        <v>25</v>
      </c>
      <c r="B1" s="46" t="s">
        <v>0</v>
      </c>
      <c r="C1" s="47" t="s">
        <v>1</v>
      </c>
      <c r="D1" s="47" t="s">
        <v>27</v>
      </c>
      <c r="E1" s="47" t="s">
        <v>28</v>
      </c>
      <c r="F1" s="48" t="s">
        <v>10</v>
      </c>
      <c r="G1" s="49" t="s">
        <v>12</v>
      </c>
      <c r="H1" s="48" t="s">
        <v>29</v>
      </c>
      <c r="I1" s="49" t="s">
        <v>30</v>
      </c>
      <c r="J1" s="48" t="s">
        <v>24</v>
      </c>
      <c r="K1" s="48" t="s">
        <v>31</v>
      </c>
      <c r="L1" s="47" t="s">
        <v>2</v>
      </c>
      <c r="M1" s="48" t="s">
        <v>2</v>
      </c>
      <c r="N1" s="50" t="s">
        <v>3</v>
      </c>
      <c r="O1" s="47" t="s">
        <v>4</v>
      </c>
      <c r="P1" s="86" t="s">
        <v>34</v>
      </c>
      <c r="Q1" s="51" t="s">
        <v>33</v>
      </c>
      <c r="R1" s="48" t="s">
        <v>26</v>
      </c>
      <c r="S1" s="52" t="s">
        <v>8</v>
      </c>
      <c r="T1" s="52" t="s">
        <v>27</v>
      </c>
      <c r="U1" s="53" t="s">
        <v>28</v>
      </c>
      <c r="V1" s="87" t="s">
        <v>29</v>
      </c>
      <c r="W1" s="54" t="s">
        <v>32</v>
      </c>
      <c r="X1" s="52" t="s">
        <v>14</v>
      </c>
      <c r="Y1" s="52" t="s">
        <v>2</v>
      </c>
      <c r="Z1" s="52" t="s">
        <v>15</v>
      </c>
      <c r="AA1" s="174" t="s">
        <v>16</v>
      </c>
      <c r="AB1" s="174"/>
      <c r="AC1" s="55"/>
      <c r="AD1" s="55" t="s">
        <v>17</v>
      </c>
      <c r="AE1" s="55" t="s">
        <v>18</v>
      </c>
    </row>
    <row r="2" spans="1:31" x14ac:dyDescent="0.2">
      <c r="A2" s="57"/>
      <c r="B2" s="57"/>
      <c r="C2" s="58"/>
      <c r="D2" s="59"/>
      <c r="E2" s="59"/>
      <c r="F2" s="60"/>
      <c r="G2" s="41">
        <v>0.02</v>
      </c>
      <c r="H2" s="60"/>
      <c r="I2" s="41">
        <v>0.06</v>
      </c>
      <c r="J2" s="41">
        <v>0.15</v>
      </c>
      <c r="K2" s="41">
        <v>0.02</v>
      </c>
      <c r="L2" s="59"/>
      <c r="M2" s="61"/>
      <c r="N2" s="62">
        <v>0.5</v>
      </c>
      <c r="O2" s="63"/>
      <c r="P2" s="64"/>
      <c r="Q2" s="65"/>
      <c r="R2" s="61"/>
      <c r="S2" s="66"/>
      <c r="T2" s="66"/>
      <c r="U2" s="67"/>
      <c r="V2" s="88"/>
      <c r="W2" s="68"/>
      <c r="X2" s="69" t="s">
        <v>20</v>
      </c>
      <c r="Y2" s="69"/>
      <c r="Z2" s="69"/>
      <c r="AA2" s="70">
        <v>0</v>
      </c>
      <c r="AB2" s="66"/>
      <c r="AC2" s="67">
        <v>0</v>
      </c>
      <c r="AD2" s="66"/>
      <c r="AE2" s="66"/>
    </row>
    <row r="3" spans="1:31" ht="36" x14ac:dyDescent="0.2">
      <c r="A3" s="39">
        <v>150</v>
      </c>
      <c r="B3" s="40" t="s">
        <v>35</v>
      </c>
      <c r="C3" s="43">
        <v>4.5</v>
      </c>
      <c r="D3" s="42">
        <v>95</v>
      </c>
      <c r="E3" s="42"/>
      <c r="F3" s="42">
        <v>0.53</v>
      </c>
      <c r="G3" s="71">
        <f>O3*$G$2</f>
        <v>0.16800000000000001</v>
      </c>
      <c r="H3" s="42">
        <v>0</v>
      </c>
      <c r="I3" s="71">
        <f>$I$2*O3</f>
        <v>0.504</v>
      </c>
      <c r="J3" s="71">
        <f>O3*$J$2</f>
        <v>1.26</v>
      </c>
      <c r="K3" s="71">
        <f>O3*$K$2</f>
        <v>0.16800000000000001</v>
      </c>
      <c r="L3" s="72">
        <v>0</v>
      </c>
      <c r="M3" s="73">
        <f>O3/P3-1</f>
        <v>8.2009446114212459E-2</v>
      </c>
      <c r="N3" s="74">
        <f t="shared" ref="N3:N11" si="0">W3/$N$2</f>
        <v>11.662666666666667</v>
      </c>
      <c r="O3" s="44">
        <v>8.4</v>
      </c>
      <c r="P3" s="75">
        <f>Z3+AB3+AD3+AE3+I3</f>
        <v>7.7633333333333319</v>
      </c>
      <c r="Q3" s="76">
        <f>(O3-P3)*A3</f>
        <v>95.50000000000027</v>
      </c>
      <c r="R3" s="77">
        <f t="shared" ref="R3:R11" si="1">O3*A3+E3</f>
        <v>1260</v>
      </c>
      <c r="S3" s="78">
        <v>0</v>
      </c>
      <c r="T3" s="78">
        <f t="shared" ref="T3:T11" si="2">D3/A3</f>
        <v>0.6333333333333333</v>
      </c>
      <c r="U3" s="79">
        <f t="shared" ref="U3:U11" si="3">E3/A3</f>
        <v>0</v>
      </c>
      <c r="V3" s="89">
        <f>H3/A3</f>
        <v>0</v>
      </c>
      <c r="W3" s="80">
        <f>T3+U3+F3+V3+G3+C3</f>
        <v>5.8313333333333333</v>
      </c>
      <c r="X3" s="79">
        <f>K3+G3+U3+F3+V3+S3+C3+J3+T3</f>
        <v>7.2593333333333323</v>
      </c>
      <c r="Y3" s="79">
        <f t="shared" ref="Y3:Y11" si="4">X3*L3</f>
        <v>0</v>
      </c>
      <c r="Z3" s="79">
        <f>X3+Y3</f>
        <v>7.2593333333333323</v>
      </c>
      <c r="AA3" s="81">
        <v>0</v>
      </c>
      <c r="AB3" s="82">
        <f t="shared" ref="AB3:AB11" si="5">$AA$2*Z3/1</f>
        <v>0</v>
      </c>
      <c r="AC3" s="82">
        <f t="shared" ref="AC3:AC11" si="6">O3*$AC$2</f>
        <v>0</v>
      </c>
      <c r="AD3" s="82">
        <f>AC3*9%</f>
        <v>0</v>
      </c>
      <c r="AE3" s="82">
        <f>AC3*15%</f>
        <v>0</v>
      </c>
    </row>
    <row r="4" spans="1:31" x14ac:dyDescent="0.2">
      <c r="A4" s="39"/>
      <c r="B4" s="40"/>
      <c r="C4" s="43"/>
      <c r="D4" s="42"/>
      <c r="E4" s="42">
        <v>0</v>
      </c>
      <c r="F4" s="42"/>
      <c r="G4" s="71">
        <f t="shared" ref="G4:G11" si="7">O4*$G$2</f>
        <v>9.7799999999999998E-2</v>
      </c>
      <c r="H4" s="42">
        <v>0</v>
      </c>
      <c r="I4" s="71">
        <f t="shared" ref="I4:I11" si="8">$I$2*O4</f>
        <v>0.29339999999999999</v>
      </c>
      <c r="J4" s="71">
        <f t="shared" ref="J4:J11" si="9">O4*$J$2</f>
        <v>0.73349999999999993</v>
      </c>
      <c r="K4" s="71">
        <f t="shared" ref="K4:K11" si="10">O4*$K$2</f>
        <v>9.7799999999999998E-2</v>
      </c>
      <c r="L4" s="72">
        <v>0</v>
      </c>
      <c r="M4" s="73" t="e">
        <f t="shared" ref="M4:M11" si="11">O4/P4-1</f>
        <v>#DIV/0!</v>
      </c>
      <c r="N4" s="74" t="e">
        <f t="shared" si="0"/>
        <v>#DIV/0!</v>
      </c>
      <c r="O4" s="44">
        <v>4.8899999999999997</v>
      </c>
      <c r="P4" s="75" t="e">
        <f t="shared" ref="P4:P11" si="12">Z4+AB4+AD4+AE4+I4</f>
        <v>#DIV/0!</v>
      </c>
      <c r="Q4" s="76" t="e">
        <f t="shared" ref="Q4:Q11" si="13">(O4-P4)*A4</f>
        <v>#DIV/0!</v>
      </c>
      <c r="R4" s="77">
        <f t="shared" si="1"/>
        <v>0</v>
      </c>
      <c r="S4" s="78">
        <v>0</v>
      </c>
      <c r="T4" s="78" t="e">
        <f t="shared" si="2"/>
        <v>#DIV/0!</v>
      </c>
      <c r="U4" s="79" t="e">
        <f t="shared" si="3"/>
        <v>#DIV/0!</v>
      </c>
      <c r="V4" s="89" t="e">
        <f t="shared" ref="V4:V11" si="14">H4/A4</f>
        <v>#DIV/0!</v>
      </c>
      <c r="W4" s="80" t="e">
        <f t="shared" ref="W4:W11" si="15">T4+U4+F4+H4+G4+C4</f>
        <v>#DIV/0!</v>
      </c>
      <c r="X4" s="79" t="e">
        <f t="shared" ref="X4:X11" si="16">K4+G4+U4+F4+H4+S4+C4+J4+T4</f>
        <v>#DIV/0!</v>
      </c>
      <c r="Y4" s="79" t="e">
        <f t="shared" si="4"/>
        <v>#DIV/0!</v>
      </c>
      <c r="Z4" s="79" t="e">
        <f t="shared" ref="Z4:Z11" si="17">X4+Y4</f>
        <v>#DIV/0!</v>
      </c>
      <c r="AA4" s="81">
        <v>1</v>
      </c>
      <c r="AB4" s="82" t="e">
        <f t="shared" si="5"/>
        <v>#DIV/0!</v>
      </c>
      <c r="AC4" s="82">
        <f t="shared" si="6"/>
        <v>0</v>
      </c>
      <c r="AD4" s="82">
        <f t="shared" ref="AD4:AD11" si="18">AC4*9%</f>
        <v>0</v>
      </c>
      <c r="AE4" s="82">
        <f t="shared" ref="AE4:AE11" si="19">AC4*15%</f>
        <v>0</v>
      </c>
    </row>
    <row r="5" spans="1:31" x14ac:dyDescent="0.2">
      <c r="A5" s="39"/>
      <c r="B5" s="40"/>
      <c r="C5" s="43"/>
      <c r="D5" s="42"/>
      <c r="E5" s="42">
        <v>0</v>
      </c>
      <c r="F5" s="42"/>
      <c r="G5" s="71">
        <f t="shared" si="7"/>
        <v>0.83000000000000007</v>
      </c>
      <c r="H5" s="42">
        <v>0</v>
      </c>
      <c r="I5" s="71">
        <f t="shared" si="8"/>
        <v>2.4899999999999998</v>
      </c>
      <c r="J5" s="71">
        <f t="shared" si="9"/>
        <v>6.2249999999999996</v>
      </c>
      <c r="K5" s="71">
        <f t="shared" si="10"/>
        <v>0.83000000000000007</v>
      </c>
      <c r="L5" s="72">
        <v>0</v>
      </c>
      <c r="M5" s="73" t="e">
        <f t="shared" si="11"/>
        <v>#DIV/0!</v>
      </c>
      <c r="N5" s="74" t="e">
        <f t="shared" si="0"/>
        <v>#DIV/0!</v>
      </c>
      <c r="O5" s="44">
        <v>41.5</v>
      </c>
      <c r="P5" s="75" t="e">
        <f t="shared" si="12"/>
        <v>#DIV/0!</v>
      </c>
      <c r="Q5" s="76" t="e">
        <f t="shared" si="13"/>
        <v>#DIV/0!</v>
      </c>
      <c r="R5" s="77">
        <f t="shared" si="1"/>
        <v>0</v>
      </c>
      <c r="S5" s="78">
        <v>0</v>
      </c>
      <c r="T5" s="78" t="e">
        <f t="shared" si="2"/>
        <v>#DIV/0!</v>
      </c>
      <c r="U5" s="79" t="e">
        <f t="shared" si="3"/>
        <v>#DIV/0!</v>
      </c>
      <c r="V5" s="89" t="e">
        <f t="shared" si="14"/>
        <v>#DIV/0!</v>
      </c>
      <c r="W5" s="80" t="e">
        <f t="shared" si="15"/>
        <v>#DIV/0!</v>
      </c>
      <c r="X5" s="79" t="e">
        <f t="shared" si="16"/>
        <v>#DIV/0!</v>
      </c>
      <c r="Y5" s="79" t="e">
        <f t="shared" si="4"/>
        <v>#DIV/0!</v>
      </c>
      <c r="Z5" s="79" t="e">
        <f t="shared" si="17"/>
        <v>#DIV/0!</v>
      </c>
      <c r="AA5" s="81">
        <v>2</v>
      </c>
      <c r="AB5" s="82" t="e">
        <f t="shared" si="5"/>
        <v>#DIV/0!</v>
      </c>
      <c r="AC5" s="82">
        <f t="shared" si="6"/>
        <v>0</v>
      </c>
      <c r="AD5" s="82">
        <f t="shared" si="18"/>
        <v>0</v>
      </c>
      <c r="AE5" s="82">
        <f t="shared" si="19"/>
        <v>0</v>
      </c>
    </row>
    <row r="6" spans="1:31" x14ac:dyDescent="0.2">
      <c r="A6" s="39"/>
      <c r="B6" s="40"/>
      <c r="C6" s="43"/>
      <c r="D6" s="42"/>
      <c r="E6" s="42">
        <v>0</v>
      </c>
      <c r="F6" s="42"/>
      <c r="G6" s="71">
        <f t="shared" si="7"/>
        <v>0</v>
      </c>
      <c r="H6" s="42">
        <v>0</v>
      </c>
      <c r="I6" s="71">
        <f t="shared" si="8"/>
        <v>0</v>
      </c>
      <c r="J6" s="71">
        <f t="shared" si="9"/>
        <v>0</v>
      </c>
      <c r="K6" s="71">
        <f t="shared" si="10"/>
        <v>0</v>
      </c>
      <c r="L6" s="72">
        <v>0</v>
      </c>
      <c r="M6" s="73" t="e">
        <f t="shared" si="11"/>
        <v>#DIV/0!</v>
      </c>
      <c r="N6" s="74" t="e">
        <f t="shared" si="0"/>
        <v>#DIV/0!</v>
      </c>
      <c r="O6" s="44"/>
      <c r="P6" s="75" t="e">
        <f t="shared" si="12"/>
        <v>#DIV/0!</v>
      </c>
      <c r="Q6" s="76" t="e">
        <f t="shared" si="13"/>
        <v>#DIV/0!</v>
      </c>
      <c r="R6" s="77">
        <f t="shared" si="1"/>
        <v>0</v>
      </c>
      <c r="S6" s="78">
        <v>0</v>
      </c>
      <c r="T6" s="78" t="e">
        <f t="shared" si="2"/>
        <v>#DIV/0!</v>
      </c>
      <c r="U6" s="79" t="e">
        <f t="shared" si="3"/>
        <v>#DIV/0!</v>
      </c>
      <c r="V6" s="89" t="e">
        <f t="shared" si="14"/>
        <v>#DIV/0!</v>
      </c>
      <c r="W6" s="80" t="e">
        <f t="shared" si="15"/>
        <v>#DIV/0!</v>
      </c>
      <c r="X6" s="79" t="e">
        <f t="shared" si="16"/>
        <v>#DIV/0!</v>
      </c>
      <c r="Y6" s="79" t="e">
        <f t="shared" si="4"/>
        <v>#DIV/0!</v>
      </c>
      <c r="Z6" s="79" t="e">
        <f t="shared" si="17"/>
        <v>#DIV/0!</v>
      </c>
      <c r="AA6" s="81">
        <v>3</v>
      </c>
      <c r="AB6" s="82" t="e">
        <f t="shared" si="5"/>
        <v>#DIV/0!</v>
      </c>
      <c r="AC6" s="82">
        <f t="shared" si="6"/>
        <v>0</v>
      </c>
      <c r="AD6" s="82">
        <f t="shared" si="18"/>
        <v>0</v>
      </c>
      <c r="AE6" s="82">
        <f t="shared" si="19"/>
        <v>0</v>
      </c>
    </row>
    <row r="7" spans="1:31" x14ac:dyDescent="0.2">
      <c r="A7" s="39"/>
      <c r="B7" s="40"/>
      <c r="C7" s="43"/>
      <c r="D7" s="42"/>
      <c r="E7" s="42">
        <v>0</v>
      </c>
      <c r="F7" s="42"/>
      <c r="G7" s="71">
        <f t="shared" si="7"/>
        <v>0.105</v>
      </c>
      <c r="H7" s="42">
        <v>0</v>
      </c>
      <c r="I7" s="71">
        <f t="shared" si="8"/>
        <v>0.315</v>
      </c>
      <c r="J7" s="71">
        <f t="shared" si="9"/>
        <v>0.78749999999999998</v>
      </c>
      <c r="K7" s="71">
        <f t="shared" si="10"/>
        <v>0.105</v>
      </c>
      <c r="L7" s="72">
        <v>0</v>
      </c>
      <c r="M7" s="73" t="e">
        <f t="shared" si="11"/>
        <v>#DIV/0!</v>
      </c>
      <c r="N7" s="74" t="e">
        <f t="shared" si="0"/>
        <v>#DIV/0!</v>
      </c>
      <c r="O7" s="44">
        <v>5.25</v>
      </c>
      <c r="P7" s="75" t="e">
        <f t="shared" si="12"/>
        <v>#DIV/0!</v>
      </c>
      <c r="Q7" s="76" t="e">
        <f t="shared" si="13"/>
        <v>#DIV/0!</v>
      </c>
      <c r="R7" s="77">
        <f t="shared" si="1"/>
        <v>0</v>
      </c>
      <c r="S7" s="78">
        <v>0</v>
      </c>
      <c r="T7" s="78" t="e">
        <f t="shared" si="2"/>
        <v>#DIV/0!</v>
      </c>
      <c r="U7" s="79" t="e">
        <f t="shared" si="3"/>
        <v>#DIV/0!</v>
      </c>
      <c r="V7" s="89" t="e">
        <f t="shared" si="14"/>
        <v>#DIV/0!</v>
      </c>
      <c r="W7" s="80" t="e">
        <f t="shared" si="15"/>
        <v>#DIV/0!</v>
      </c>
      <c r="X7" s="79" t="e">
        <f t="shared" si="16"/>
        <v>#DIV/0!</v>
      </c>
      <c r="Y7" s="79" t="e">
        <f t="shared" si="4"/>
        <v>#DIV/0!</v>
      </c>
      <c r="Z7" s="79" t="e">
        <f t="shared" si="17"/>
        <v>#DIV/0!</v>
      </c>
      <c r="AA7" s="81">
        <v>4</v>
      </c>
      <c r="AB7" s="82" t="e">
        <f t="shared" si="5"/>
        <v>#DIV/0!</v>
      </c>
      <c r="AC7" s="82">
        <f t="shared" si="6"/>
        <v>0</v>
      </c>
      <c r="AD7" s="82">
        <f t="shared" si="18"/>
        <v>0</v>
      </c>
      <c r="AE7" s="82">
        <f t="shared" si="19"/>
        <v>0</v>
      </c>
    </row>
    <row r="8" spans="1:31" x14ac:dyDescent="0.2">
      <c r="A8" s="39"/>
      <c r="B8" s="40"/>
      <c r="C8" s="43"/>
      <c r="D8" s="42"/>
      <c r="E8" s="42">
        <v>0</v>
      </c>
      <c r="F8" s="42"/>
      <c r="G8" s="71">
        <f t="shared" si="7"/>
        <v>0.12</v>
      </c>
      <c r="H8" s="42">
        <v>0</v>
      </c>
      <c r="I8" s="71">
        <f t="shared" si="8"/>
        <v>0.36</v>
      </c>
      <c r="J8" s="71">
        <f t="shared" si="9"/>
        <v>0.89999999999999991</v>
      </c>
      <c r="K8" s="71">
        <f t="shared" si="10"/>
        <v>0.12</v>
      </c>
      <c r="L8" s="72">
        <v>0</v>
      </c>
      <c r="M8" s="73" t="e">
        <f t="shared" si="11"/>
        <v>#DIV/0!</v>
      </c>
      <c r="N8" s="74" t="e">
        <f t="shared" si="0"/>
        <v>#DIV/0!</v>
      </c>
      <c r="O8" s="44">
        <v>6</v>
      </c>
      <c r="P8" s="75" t="e">
        <f t="shared" si="12"/>
        <v>#DIV/0!</v>
      </c>
      <c r="Q8" s="76" t="e">
        <f t="shared" si="13"/>
        <v>#DIV/0!</v>
      </c>
      <c r="R8" s="77">
        <f t="shared" si="1"/>
        <v>0</v>
      </c>
      <c r="S8" s="78">
        <v>0</v>
      </c>
      <c r="T8" s="78" t="e">
        <f t="shared" si="2"/>
        <v>#DIV/0!</v>
      </c>
      <c r="U8" s="79" t="e">
        <f t="shared" si="3"/>
        <v>#DIV/0!</v>
      </c>
      <c r="V8" s="89" t="e">
        <f t="shared" si="14"/>
        <v>#DIV/0!</v>
      </c>
      <c r="W8" s="80" t="e">
        <f t="shared" si="15"/>
        <v>#DIV/0!</v>
      </c>
      <c r="X8" s="79" t="e">
        <f t="shared" si="16"/>
        <v>#DIV/0!</v>
      </c>
      <c r="Y8" s="79" t="e">
        <f t="shared" si="4"/>
        <v>#DIV/0!</v>
      </c>
      <c r="Z8" s="79" t="e">
        <f t="shared" si="17"/>
        <v>#DIV/0!</v>
      </c>
      <c r="AA8" s="81">
        <v>5</v>
      </c>
      <c r="AB8" s="82" t="e">
        <f t="shared" si="5"/>
        <v>#DIV/0!</v>
      </c>
      <c r="AC8" s="82">
        <f t="shared" si="6"/>
        <v>0</v>
      </c>
      <c r="AD8" s="82">
        <f t="shared" si="18"/>
        <v>0</v>
      </c>
      <c r="AE8" s="82">
        <f t="shared" si="19"/>
        <v>0</v>
      </c>
    </row>
    <row r="9" spans="1:31" x14ac:dyDescent="0.2">
      <c r="A9" s="39"/>
      <c r="B9" s="40"/>
      <c r="C9" s="43"/>
      <c r="D9" s="42"/>
      <c r="E9" s="42">
        <v>0</v>
      </c>
      <c r="F9" s="42"/>
      <c r="G9" s="71">
        <f t="shared" si="7"/>
        <v>8.5999999999999993E-2</v>
      </c>
      <c r="H9" s="42">
        <v>0</v>
      </c>
      <c r="I9" s="71">
        <f t="shared" si="8"/>
        <v>0.25800000000000001</v>
      </c>
      <c r="J9" s="71">
        <f t="shared" si="9"/>
        <v>0.64499999999999991</v>
      </c>
      <c r="K9" s="71">
        <f t="shared" si="10"/>
        <v>8.5999999999999993E-2</v>
      </c>
      <c r="L9" s="72">
        <v>0</v>
      </c>
      <c r="M9" s="73" t="e">
        <f t="shared" si="11"/>
        <v>#DIV/0!</v>
      </c>
      <c r="N9" s="74" t="e">
        <f t="shared" si="0"/>
        <v>#DIV/0!</v>
      </c>
      <c r="O9" s="44">
        <v>4.3</v>
      </c>
      <c r="P9" s="75" t="e">
        <f t="shared" si="12"/>
        <v>#DIV/0!</v>
      </c>
      <c r="Q9" s="76" t="e">
        <f t="shared" si="13"/>
        <v>#DIV/0!</v>
      </c>
      <c r="R9" s="77">
        <f t="shared" si="1"/>
        <v>0</v>
      </c>
      <c r="S9" s="78">
        <v>0</v>
      </c>
      <c r="T9" s="78" t="e">
        <f t="shared" si="2"/>
        <v>#DIV/0!</v>
      </c>
      <c r="U9" s="79" t="e">
        <f t="shared" si="3"/>
        <v>#DIV/0!</v>
      </c>
      <c r="V9" s="89" t="e">
        <f t="shared" si="14"/>
        <v>#DIV/0!</v>
      </c>
      <c r="W9" s="80" t="e">
        <f t="shared" si="15"/>
        <v>#DIV/0!</v>
      </c>
      <c r="X9" s="79" t="e">
        <f t="shared" si="16"/>
        <v>#DIV/0!</v>
      </c>
      <c r="Y9" s="79" t="e">
        <f t="shared" si="4"/>
        <v>#DIV/0!</v>
      </c>
      <c r="Z9" s="79" t="e">
        <f t="shared" si="17"/>
        <v>#DIV/0!</v>
      </c>
      <c r="AA9" s="81">
        <v>6</v>
      </c>
      <c r="AB9" s="82" t="e">
        <f t="shared" si="5"/>
        <v>#DIV/0!</v>
      </c>
      <c r="AC9" s="82">
        <f t="shared" si="6"/>
        <v>0</v>
      </c>
      <c r="AD9" s="82">
        <f t="shared" si="18"/>
        <v>0</v>
      </c>
      <c r="AE9" s="82">
        <f t="shared" si="19"/>
        <v>0</v>
      </c>
    </row>
    <row r="10" spans="1:31" x14ac:dyDescent="0.2">
      <c r="A10" s="39"/>
      <c r="B10" s="40"/>
      <c r="C10" s="43"/>
      <c r="D10" s="42"/>
      <c r="E10" s="42">
        <v>0</v>
      </c>
      <c r="F10" s="42"/>
      <c r="G10" s="71">
        <f t="shared" si="7"/>
        <v>0.11800000000000001</v>
      </c>
      <c r="H10" s="42">
        <v>0</v>
      </c>
      <c r="I10" s="71">
        <f t="shared" si="8"/>
        <v>0.35399999999999998</v>
      </c>
      <c r="J10" s="71">
        <f t="shared" si="9"/>
        <v>0.88500000000000001</v>
      </c>
      <c r="K10" s="71">
        <f t="shared" si="10"/>
        <v>0.11800000000000001</v>
      </c>
      <c r="L10" s="72">
        <v>0</v>
      </c>
      <c r="M10" s="73" t="e">
        <f t="shared" si="11"/>
        <v>#DIV/0!</v>
      </c>
      <c r="N10" s="74" t="e">
        <f t="shared" si="0"/>
        <v>#DIV/0!</v>
      </c>
      <c r="O10" s="44">
        <v>5.9</v>
      </c>
      <c r="P10" s="75" t="e">
        <f t="shared" si="12"/>
        <v>#DIV/0!</v>
      </c>
      <c r="Q10" s="76" t="e">
        <f t="shared" si="13"/>
        <v>#DIV/0!</v>
      </c>
      <c r="R10" s="77">
        <f t="shared" si="1"/>
        <v>0</v>
      </c>
      <c r="S10" s="78">
        <v>0</v>
      </c>
      <c r="T10" s="78" t="e">
        <f t="shared" si="2"/>
        <v>#DIV/0!</v>
      </c>
      <c r="U10" s="79" t="e">
        <f t="shared" si="3"/>
        <v>#DIV/0!</v>
      </c>
      <c r="V10" s="89" t="e">
        <f t="shared" si="14"/>
        <v>#DIV/0!</v>
      </c>
      <c r="W10" s="80" t="e">
        <f t="shared" si="15"/>
        <v>#DIV/0!</v>
      </c>
      <c r="X10" s="79" t="e">
        <f t="shared" si="16"/>
        <v>#DIV/0!</v>
      </c>
      <c r="Y10" s="79" t="e">
        <f t="shared" si="4"/>
        <v>#DIV/0!</v>
      </c>
      <c r="Z10" s="79" t="e">
        <f t="shared" si="17"/>
        <v>#DIV/0!</v>
      </c>
      <c r="AA10" s="81">
        <v>7</v>
      </c>
      <c r="AB10" s="82" t="e">
        <f t="shared" si="5"/>
        <v>#DIV/0!</v>
      </c>
      <c r="AC10" s="82">
        <f t="shared" si="6"/>
        <v>0</v>
      </c>
      <c r="AD10" s="82">
        <f t="shared" si="18"/>
        <v>0</v>
      </c>
      <c r="AE10" s="82">
        <f t="shared" si="19"/>
        <v>0</v>
      </c>
    </row>
    <row r="11" spans="1:31" x14ac:dyDescent="0.2">
      <c r="A11" s="39"/>
      <c r="B11" s="40"/>
      <c r="C11" s="43"/>
      <c r="D11" s="42"/>
      <c r="E11" s="42"/>
      <c r="F11" s="42"/>
      <c r="G11" s="71">
        <f t="shared" si="7"/>
        <v>8.8000000000000009E-2</v>
      </c>
      <c r="H11" s="42">
        <v>0</v>
      </c>
      <c r="I11" s="71">
        <f t="shared" si="8"/>
        <v>0.26400000000000001</v>
      </c>
      <c r="J11" s="71">
        <f t="shared" si="9"/>
        <v>0.66</v>
      </c>
      <c r="K11" s="71">
        <f t="shared" si="10"/>
        <v>8.8000000000000009E-2</v>
      </c>
      <c r="L11" s="72">
        <v>0</v>
      </c>
      <c r="M11" s="73" t="e">
        <f t="shared" si="11"/>
        <v>#DIV/0!</v>
      </c>
      <c r="N11" s="74" t="e">
        <f t="shared" si="0"/>
        <v>#DIV/0!</v>
      </c>
      <c r="O11" s="44">
        <v>4.4000000000000004</v>
      </c>
      <c r="P11" s="75" t="e">
        <f t="shared" si="12"/>
        <v>#DIV/0!</v>
      </c>
      <c r="Q11" s="76" t="e">
        <f t="shared" si="13"/>
        <v>#DIV/0!</v>
      </c>
      <c r="R11" s="77">
        <f t="shared" si="1"/>
        <v>0</v>
      </c>
      <c r="S11" s="78">
        <v>0</v>
      </c>
      <c r="T11" s="78" t="e">
        <f t="shared" si="2"/>
        <v>#DIV/0!</v>
      </c>
      <c r="U11" s="79" t="e">
        <f t="shared" si="3"/>
        <v>#DIV/0!</v>
      </c>
      <c r="V11" s="89" t="e">
        <f t="shared" si="14"/>
        <v>#DIV/0!</v>
      </c>
      <c r="W11" s="80" t="e">
        <f t="shared" si="15"/>
        <v>#DIV/0!</v>
      </c>
      <c r="X11" s="79" t="e">
        <f t="shared" si="16"/>
        <v>#DIV/0!</v>
      </c>
      <c r="Y11" s="79" t="e">
        <f t="shared" si="4"/>
        <v>#DIV/0!</v>
      </c>
      <c r="Z11" s="79" t="e">
        <f t="shared" si="17"/>
        <v>#DIV/0!</v>
      </c>
      <c r="AA11" s="81">
        <v>8</v>
      </c>
      <c r="AB11" s="82" t="e">
        <f t="shared" si="5"/>
        <v>#DIV/0!</v>
      </c>
      <c r="AC11" s="82">
        <f t="shared" si="6"/>
        <v>0</v>
      </c>
      <c r="AD11" s="82">
        <f t="shared" si="18"/>
        <v>0</v>
      </c>
      <c r="AE11" s="82">
        <f t="shared" si="19"/>
        <v>0</v>
      </c>
    </row>
    <row r="12" spans="1:31" x14ac:dyDescent="0.2">
      <c r="Q12" s="85" t="e">
        <f>SUM(Q3:Q11)</f>
        <v>#DIV/0!</v>
      </c>
      <c r="R12" s="85">
        <f>SUM(R3:R11)</f>
        <v>1260</v>
      </c>
    </row>
  </sheetData>
  <mergeCells count="1">
    <mergeCell ref="AA1:AB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F1A23-E861-4A5B-844F-17D9D43B4646}">
  <dimension ref="A1:U17"/>
  <sheetViews>
    <sheetView workbookViewId="0">
      <selection activeCell="U4" sqref="U4"/>
    </sheetView>
  </sheetViews>
  <sheetFormatPr defaultRowHeight="15" x14ac:dyDescent="0.25"/>
  <cols>
    <col min="1" max="1" width="26.5703125" bestFit="1" customWidth="1"/>
    <col min="2" max="2" width="12.140625" bestFit="1" customWidth="1"/>
    <col min="3" max="3" width="12.140625" customWidth="1"/>
    <col min="4" max="4" width="9.28515625" bestFit="1" customWidth="1"/>
    <col min="5" max="5" width="12.140625" bestFit="1" customWidth="1"/>
    <col min="7" max="7" width="15.5703125" customWidth="1"/>
    <col min="8" max="8" width="10.5703125" bestFit="1" customWidth="1"/>
    <col min="9" max="9" width="9.5703125" bestFit="1" customWidth="1"/>
    <col min="11" max="11" width="20.42578125" bestFit="1" customWidth="1"/>
    <col min="13" max="13" width="15.140625" bestFit="1" customWidth="1"/>
    <col min="14" max="14" width="20.7109375" bestFit="1" customWidth="1"/>
    <col min="15" max="15" width="15.140625" customWidth="1"/>
    <col min="16" max="16" width="10.5703125" bestFit="1" customWidth="1"/>
    <col min="17" max="17" width="9.5703125" bestFit="1" customWidth="1"/>
    <col min="18" max="18" width="22.42578125" bestFit="1" customWidth="1"/>
    <col min="19" max="20" width="17.42578125" customWidth="1"/>
    <col min="21" max="21" width="20.5703125" customWidth="1"/>
    <col min="22" max="22" width="10.5703125" bestFit="1" customWidth="1"/>
  </cols>
  <sheetData>
    <row r="1" spans="1:21" x14ac:dyDescent="0.25">
      <c r="A1" s="111" t="s">
        <v>53</v>
      </c>
      <c r="B1" t="s">
        <v>45</v>
      </c>
      <c r="D1" s="175" t="s">
        <v>46</v>
      </c>
      <c r="E1" s="175"/>
      <c r="F1" s="90"/>
      <c r="G1" t="s">
        <v>30</v>
      </c>
      <c r="H1">
        <v>8</v>
      </c>
      <c r="J1" s="90"/>
      <c r="K1" t="s">
        <v>42</v>
      </c>
    </row>
    <row r="2" spans="1:21" ht="15.75" thickBot="1" x14ac:dyDescent="0.3">
      <c r="A2" s="115" t="s">
        <v>36</v>
      </c>
      <c r="B2" s="116">
        <v>10</v>
      </c>
      <c r="C2" s="92"/>
      <c r="D2" s="92"/>
      <c r="E2" s="93"/>
      <c r="F2" s="90"/>
      <c r="G2" t="s">
        <v>40</v>
      </c>
      <c r="H2">
        <v>15</v>
      </c>
      <c r="J2" s="90"/>
    </row>
    <row r="3" spans="1:21" ht="15.75" thickBot="1" x14ac:dyDescent="0.3">
      <c r="A3" s="115" t="s">
        <v>47</v>
      </c>
      <c r="B3" s="116">
        <v>90</v>
      </c>
      <c r="C3" s="92"/>
      <c r="D3" s="116">
        <v>0.17</v>
      </c>
      <c r="E3" s="118">
        <f>L4*D3</f>
        <v>0.17</v>
      </c>
      <c r="F3" s="90"/>
      <c r="G3" t="s">
        <v>12</v>
      </c>
      <c r="H3">
        <v>2</v>
      </c>
      <c r="J3" s="90"/>
      <c r="K3" s="93" t="s">
        <v>43</v>
      </c>
      <c r="L3" s="93" t="s">
        <v>25</v>
      </c>
      <c r="M3" s="93" t="s">
        <v>49</v>
      </c>
      <c r="N3" s="108" t="s">
        <v>51</v>
      </c>
      <c r="O3" s="95" t="s">
        <v>48</v>
      </c>
      <c r="P3" s="99" t="s">
        <v>44</v>
      </c>
      <c r="Q3" s="102" t="s">
        <v>2</v>
      </c>
      <c r="R3" s="95" t="s">
        <v>50</v>
      </c>
      <c r="S3" s="99" t="s">
        <v>27</v>
      </c>
      <c r="T3" s="102" t="s">
        <v>29</v>
      </c>
      <c r="U3" s="95" t="s">
        <v>52</v>
      </c>
    </row>
    <row r="4" spans="1:21" ht="15.75" thickBot="1" x14ac:dyDescent="0.3">
      <c r="A4" s="117" t="s">
        <v>47</v>
      </c>
      <c r="B4" s="106">
        <f>B3*M4</f>
        <v>90</v>
      </c>
      <c r="C4" s="93"/>
      <c r="D4" s="118">
        <f>D3*M4</f>
        <v>0.17</v>
      </c>
      <c r="E4" s="106">
        <f>L4*D4</f>
        <v>0.17</v>
      </c>
      <c r="F4" s="90"/>
      <c r="G4" t="s">
        <v>41</v>
      </c>
      <c r="H4">
        <v>1.5</v>
      </c>
      <c r="J4" s="90"/>
      <c r="K4" s="111" t="s">
        <v>54</v>
      </c>
      <c r="L4" s="115">
        <v>1</v>
      </c>
      <c r="M4" s="115">
        <v>1</v>
      </c>
      <c r="N4" s="109">
        <f>G10</f>
        <v>136.0544217687075</v>
      </c>
      <c r="O4" s="97">
        <f>H14/L4</f>
        <v>100</v>
      </c>
      <c r="P4" s="100">
        <f>N4+O4</f>
        <v>236.0544217687075</v>
      </c>
      <c r="Q4" s="103">
        <v>0.15</v>
      </c>
      <c r="R4" s="104">
        <f>P4*Q4+P4</f>
        <v>271.46258503401361</v>
      </c>
      <c r="S4" s="96">
        <f>I15</f>
        <v>90</v>
      </c>
      <c r="T4" s="94">
        <f>I16</f>
        <v>10</v>
      </c>
      <c r="U4" s="97">
        <f>R4+S4+T4</f>
        <v>371.46258503401361</v>
      </c>
    </row>
    <row r="5" spans="1:21" ht="15.75" thickBot="1" x14ac:dyDescent="0.3">
      <c r="F5" s="90"/>
      <c r="J5" s="90"/>
      <c r="N5" s="110">
        <f>G11</f>
        <v>13.836734693877551</v>
      </c>
      <c r="O5" s="98"/>
      <c r="P5" s="101"/>
      <c r="Q5" s="105"/>
      <c r="R5" s="98"/>
      <c r="S5" s="101"/>
      <c r="T5" s="105"/>
      <c r="U5" s="98"/>
    </row>
    <row r="6" spans="1:21" ht="15.75" thickBot="1" x14ac:dyDescent="0.3">
      <c r="F6" s="90"/>
      <c r="H6">
        <v>100</v>
      </c>
      <c r="J6" s="90"/>
    </row>
    <row r="7" spans="1:21" ht="15.75" thickBot="1" x14ac:dyDescent="0.3">
      <c r="F7" s="90"/>
      <c r="G7" s="106">
        <f>E4+B2</f>
        <v>10.17</v>
      </c>
      <c r="H7">
        <f>H1+H2+H3+H4</f>
        <v>26.5</v>
      </c>
      <c r="J7" s="90"/>
    </row>
    <row r="8" spans="1:21" ht="15.75" thickBot="1" x14ac:dyDescent="0.3">
      <c r="F8" s="90"/>
      <c r="G8" s="106">
        <f>B2+B4</f>
        <v>100</v>
      </c>
      <c r="H8">
        <f>H6-H7</f>
        <v>73.5</v>
      </c>
      <c r="J8" s="90"/>
    </row>
    <row r="9" spans="1:21" ht="15.75" thickBot="1" x14ac:dyDescent="0.3">
      <c r="F9" s="90"/>
      <c r="J9" s="90"/>
    </row>
    <row r="10" spans="1:21" ht="15.75" thickBot="1" x14ac:dyDescent="0.3">
      <c r="F10" s="90"/>
      <c r="G10" s="107">
        <f>G8/H10</f>
        <v>136.0544217687075</v>
      </c>
      <c r="H10">
        <f>H8/100</f>
        <v>0.73499999999999999</v>
      </c>
      <c r="J10" s="90"/>
    </row>
    <row r="11" spans="1:21" ht="15.75" thickBot="1" x14ac:dyDescent="0.3">
      <c r="F11" s="90"/>
      <c r="G11" s="106">
        <f>G7/H10</f>
        <v>13.836734693877551</v>
      </c>
      <c r="J11" s="90"/>
    </row>
    <row r="12" spans="1:21" x14ac:dyDescent="0.25">
      <c r="F12" s="90"/>
      <c r="J12" s="90"/>
    </row>
    <row r="13" spans="1:21" x14ac:dyDescent="0.25">
      <c r="D13" s="90"/>
      <c r="E13" s="90"/>
      <c r="F13" s="90"/>
      <c r="G13" s="90"/>
      <c r="H13" s="90"/>
      <c r="I13" s="90"/>
      <c r="J13" s="90"/>
      <c r="K13" s="90"/>
      <c r="L13" s="90"/>
      <c r="M13" s="90"/>
    </row>
    <row r="14" spans="1:21" ht="15.75" thickBot="1" x14ac:dyDescent="0.3">
      <c r="D14" s="90"/>
      <c r="E14" s="115" t="s">
        <v>39</v>
      </c>
      <c r="F14" s="115"/>
      <c r="G14" s="115"/>
      <c r="H14" s="116">
        <v>100</v>
      </c>
      <c r="I14" s="114"/>
      <c r="J14" s="114"/>
      <c r="K14" s="90"/>
      <c r="L14" s="90"/>
      <c r="M14" s="90"/>
    </row>
    <row r="15" spans="1:21" x14ac:dyDescent="0.25">
      <c r="D15" s="90"/>
      <c r="E15" s="115" t="s">
        <v>37</v>
      </c>
      <c r="F15" s="115"/>
      <c r="G15" s="115"/>
      <c r="H15" s="116">
        <v>90</v>
      </c>
      <c r="I15" s="112">
        <f>H15/L4</f>
        <v>90</v>
      </c>
      <c r="J15" s="119">
        <v>0.05</v>
      </c>
      <c r="K15" s="112">
        <f>B2*J15</f>
        <v>0.5</v>
      </c>
      <c r="L15" s="94">
        <f>K15*L4</f>
        <v>0.5</v>
      </c>
      <c r="M15" s="90"/>
    </row>
    <row r="16" spans="1:21" ht="15.75" thickBot="1" x14ac:dyDescent="0.3">
      <c r="D16" s="90"/>
      <c r="E16" s="115" t="s">
        <v>38</v>
      </c>
      <c r="F16" s="115"/>
      <c r="G16" s="115"/>
      <c r="H16" s="116">
        <v>10</v>
      </c>
      <c r="I16" s="113">
        <f>H16/L4</f>
        <v>10</v>
      </c>
      <c r="J16" s="119">
        <v>0.01</v>
      </c>
      <c r="K16" s="113">
        <f>B2*J16</f>
        <v>0.1</v>
      </c>
      <c r="L16" s="94">
        <f>K16*L4</f>
        <v>0.1</v>
      </c>
      <c r="M16" s="90"/>
    </row>
    <row r="17" spans="4:13" x14ac:dyDescent="0.25">
      <c r="D17" s="90"/>
      <c r="E17" s="90"/>
      <c r="F17" s="90"/>
      <c r="G17" s="90"/>
      <c r="H17" s="90"/>
      <c r="I17" s="90"/>
      <c r="J17" s="90"/>
      <c r="K17" s="90"/>
      <c r="L17" s="90"/>
      <c r="M17" s="90"/>
    </row>
  </sheetData>
  <mergeCells count="1">
    <mergeCell ref="D1:E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068E5-1A76-4D4E-BD03-C0060D481A9A}">
  <dimension ref="A1:T27"/>
  <sheetViews>
    <sheetView zoomScaleNormal="100" workbookViewId="0">
      <selection activeCell="B14" sqref="B14"/>
    </sheetView>
  </sheetViews>
  <sheetFormatPr defaultRowHeight="15" x14ac:dyDescent="0.25"/>
  <cols>
    <col min="1" max="1" width="26.5703125" bestFit="1" customWidth="1"/>
    <col min="2" max="2" width="12.140625" bestFit="1" customWidth="1"/>
    <col min="3" max="3" width="12.140625" customWidth="1"/>
    <col min="4" max="4" width="9.85546875" customWidth="1"/>
    <col min="5" max="5" width="14.7109375" bestFit="1" customWidth="1"/>
    <col min="6" max="6" width="11.42578125" customWidth="1"/>
    <col min="7" max="7" width="15.5703125" customWidth="1"/>
    <col min="8" max="8" width="10.5703125" customWidth="1"/>
    <col min="9" max="9" width="10.7109375" customWidth="1"/>
    <col min="10" max="11" width="10.5703125" customWidth="1"/>
    <col min="12" max="12" width="9.140625" customWidth="1"/>
    <col min="13" max="13" width="13.42578125" customWidth="1"/>
    <col min="14" max="14" width="10.42578125" customWidth="1"/>
    <col min="15" max="15" width="10.5703125" customWidth="1"/>
    <col min="16" max="16" width="11.5703125" customWidth="1"/>
    <col min="17" max="17" width="14.140625" customWidth="1"/>
    <col min="18" max="19" width="17.42578125" customWidth="1"/>
    <col min="20" max="20" width="20.5703125" customWidth="1"/>
    <col min="21" max="21" width="14.28515625" bestFit="1" customWidth="1"/>
  </cols>
  <sheetData>
    <row r="1" spans="1:20" ht="15.75" thickBot="1" x14ac:dyDescent="0.3">
      <c r="A1" s="111" t="s">
        <v>53</v>
      </c>
      <c r="B1" s="150" t="s">
        <v>45</v>
      </c>
      <c r="C1" s="150"/>
      <c r="D1" s="176" t="s">
        <v>46</v>
      </c>
      <c r="E1" s="176"/>
      <c r="F1" t="s">
        <v>42</v>
      </c>
    </row>
    <row r="2" spans="1:20" ht="15.75" thickBot="1" x14ac:dyDescent="0.3">
      <c r="A2" s="148" t="s">
        <v>36</v>
      </c>
      <c r="B2" s="149">
        <v>10</v>
      </c>
      <c r="C2" s="92"/>
      <c r="D2" s="151"/>
      <c r="E2" s="152">
        <f>B2*A10</f>
        <v>150</v>
      </c>
      <c r="G2" s="91">
        <f>B2*A10</f>
        <v>150</v>
      </c>
      <c r="M2" s="91" t="e">
        <f>M4*A10</f>
        <v>#REF!</v>
      </c>
      <c r="N2" s="91">
        <f>N4*A10</f>
        <v>7.5</v>
      </c>
      <c r="O2" s="91">
        <f>O4*A10</f>
        <v>1.5</v>
      </c>
    </row>
    <row r="3" spans="1:20" ht="15.75" thickBot="1" x14ac:dyDescent="0.3">
      <c r="A3" s="141"/>
      <c r="B3" s="142"/>
      <c r="C3" s="92"/>
      <c r="D3" s="153"/>
      <c r="E3" s="154"/>
      <c r="F3" s="93" t="s">
        <v>43</v>
      </c>
      <c r="I3" s="131" t="s">
        <v>51</v>
      </c>
      <c r="J3" s="132" t="s">
        <v>48</v>
      </c>
      <c r="K3" s="131" t="s">
        <v>44</v>
      </c>
      <c r="M3" s="133" t="s">
        <v>50</v>
      </c>
      <c r="N3" s="131" t="s">
        <v>27</v>
      </c>
      <c r="O3" s="132" t="s">
        <v>29</v>
      </c>
      <c r="P3" s="133" t="s">
        <v>52</v>
      </c>
    </row>
    <row r="4" spans="1:20" ht="15.75" thickBot="1" x14ac:dyDescent="0.3">
      <c r="A4" s="145" t="s">
        <v>47</v>
      </c>
      <c r="B4" s="159">
        <f>90*E8</f>
        <v>90</v>
      </c>
      <c r="C4" s="160"/>
      <c r="D4" s="161">
        <f>0.17*E8</f>
        <v>0.17</v>
      </c>
      <c r="E4" s="159">
        <f>A10*D4</f>
        <v>2.5500000000000003</v>
      </c>
      <c r="F4" s="111" t="s">
        <v>54</v>
      </c>
      <c r="I4" s="134" t="e">
        <f>#REF!</f>
        <v>#REF!</v>
      </c>
      <c r="J4" s="135">
        <f>A8/A10</f>
        <v>6.666666666666667</v>
      </c>
      <c r="K4" s="134" t="e">
        <f>I4+J4</f>
        <v>#REF!</v>
      </c>
      <c r="M4" s="137" t="e">
        <f>K4*D8+K4</f>
        <v>#REF!</v>
      </c>
      <c r="N4" s="134">
        <f>D5</f>
        <v>0.5</v>
      </c>
      <c r="O4" s="135">
        <f>D6</f>
        <v>0.1</v>
      </c>
      <c r="P4" s="138" t="e">
        <f>M4+N4+O4</f>
        <v>#REF!</v>
      </c>
      <c r="Q4" s="91" t="e">
        <f>P4*A10</f>
        <v>#REF!</v>
      </c>
    </row>
    <row r="5" spans="1:20" ht="15.75" thickBot="1" x14ac:dyDescent="0.3">
      <c r="A5" s="143" t="s">
        <v>37</v>
      </c>
      <c r="B5" s="144">
        <v>90</v>
      </c>
      <c r="C5" s="115"/>
      <c r="D5" s="155">
        <f>B2*F5</f>
        <v>0.5</v>
      </c>
      <c r="E5" s="156">
        <f>D5*A10</f>
        <v>7.5</v>
      </c>
      <c r="F5" s="119">
        <v>0.05</v>
      </c>
      <c r="G5" s="123">
        <v>1</v>
      </c>
      <c r="H5" s="124"/>
      <c r="I5" s="125">
        <f>K15</f>
        <v>136.0544217687075</v>
      </c>
      <c r="J5" s="126">
        <f>A8</f>
        <v>100</v>
      </c>
      <c r="K5" s="127">
        <f>I5+J5</f>
        <v>236.0544217687075</v>
      </c>
      <c r="L5" s="128">
        <v>0.15</v>
      </c>
      <c r="M5" s="129">
        <f>K5*L5+K5</f>
        <v>271.46258503401361</v>
      </c>
      <c r="N5" s="127">
        <f>B5</f>
        <v>90</v>
      </c>
      <c r="O5" s="125">
        <f>B6</f>
        <v>10</v>
      </c>
      <c r="P5" s="130">
        <f>M5+N5+O5</f>
        <v>371.46258503401361</v>
      </c>
      <c r="Q5" s="122"/>
    </row>
    <row r="6" spans="1:20" ht="15.75" thickBot="1" x14ac:dyDescent="0.3">
      <c r="A6" s="139" t="s">
        <v>38</v>
      </c>
      <c r="B6" s="140">
        <v>10</v>
      </c>
      <c r="C6" s="115"/>
      <c r="D6" s="157">
        <f>B2*F6</f>
        <v>0.1</v>
      </c>
      <c r="E6" s="158">
        <f>D6*A10</f>
        <v>1.5</v>
      </c>
      <c r="F6" s="119">
        <v>0.01</v>
      </c>
    </row>
    <row r="7" spans="1:20" ht="15.75" thickBot="1" x14ac:dyDescent="0.3">
      <c r="A7" s="162" t="s">
        <v>39</v>
      </c>
      <c r="B7" s="91">
        <f>B2+B4+B5+B6</f>
        <v>200</v>
      </c>
      <c r="D7" s="132" t="s">
        <v>2</v>
      </c>
      <c r="E7" s="93" t="s">
        <v>49</v>
      </c>
      <c r="F7" s="164"/>
    </row>
    <row r="8" spans="1:20" ht="15.75" thickBot="1" x14ac:dyDescent="0.3">
      <c r="A8" s="163">
        <v>100</v>
      </c>
      <c r="B8" s="147">
        <f>(B2*A10)+B4+B5+B6+B7</f>
        <v>540</v>
      </c>
      <c r="D8" s="136">
        <v>0.15</v>
      </c>
      <c r="E8" s="146">
        <v>1</v>
      </c>
      <c r="F8" s="164"/>
    </row>
    <row r="9" spans="1:20" x14ac:dyDescent="0.25">
      <c r="A9" s="166" t="s">
        <v>25</v>
      </c>
      <c r="B9" s="91">
        <f>B8/D10</f>
        <v>734.69387755102048</v>
      </c>
      <c r="D9" s="117" t="s">
        <v>55</v>
      </c>
      <c r="F9" s="164"/>
    </row>
    <row r="10" spans="1:20" ht="15.75" thickBot="1" x14ac:dyDescent="0.3">
      <c r="A10" s="167">
        <v>15</v>
      </c>
      <c r="B10" s="91">
        <f>B9</f>
        <v>734.69387755102048</v>
      </c>
      <c r="D10" s="165">
        <f>B27/100</f>
        <v>0.73499999999999999</v>
      </c>
      <c r="F10" s="164"/>
    </row>
    <row r="11" spans="1:20" x14ac:dyDescent="0.25">
      <c r="A11" s="170" t="s">
        <v>56</v>
      </c>
      <c r="B11" s="91"/>
      <c r="D11" s="168"/>
      <c r="E11" s="94">
        <f>B2*A10</f>
        <v>150</v>
      </c>
      <c r="F11" s="164"/>
    </row>
    <row r="12" spans="1:20" x14ac:dyDescent="0.25">
      <c r="A12" s="171" t="e">
        <f>A11+B4</f>
        <v>#VALUE!</v>
      </c>
      <c r="B12" s="147"/>
      <c r="D12" s="168"/>
      <c r="E12" s="169">
        <f>E2+B4</f>
        <v>240</v>
      </c>
      <c r="F12" s="179">
        <f>E13/15</f>
        <v>21.768707482993197</v>
      </c>
      <c r="G12" s="120"/>
    </row>
    <row r="13" spans="1:20" x14ac:dyDescent="0.25">
      <c r="A13" s="170" t="e">
        <f>A12/D10</f>
        <v>#VALUE!</v>
      </c>
      <c r="B13" s="147">
        <f>B10</f>
        <v>734.69387755102048</v>
      </c>
      <c r="C13" s="91">
        <f>A8+B6+B5+B4</f>
        <v>290</v>
      </c>
      <c r="D13" s="168"/>
      <c r="E13" s="94">
        <f>E12/D10</f>
        <v>326.53061224489795</v>
      </c>
      <c r="F13" s="179">
        <f>E13*0.02/A10</f>
        <v>0.43537414965986393</v>
      </c>
      <c r="G13" s="120"/>
    </row>
    <row r="14" spans="1:20" ht="15.75" thickBot="1" x14ac:dyDescent="0.3">
      <c r="A14" s="170" t="e">
        <f>A13+A8</f>
        <v>#VALUE!</v>
      </c>
      <c r="B14" s="91">
        <f>B13/A10</f>
        <v>48.979591836734699</v>
      </c>
      <c r="C14" s="91">
        <f>A10*B2</f>
        <v>150</v>
      </c>
      <c r="D14" s="168"/>
      <c r="E14" s="94">
        <f>E13+A8</f>
        <v>426.53061224489795</v>
      </c>
      <c r="F14" s="164"/>
    </row>
    <row r="15" spans="1:20" ht="15.75" thickBot="1" x14ac:dyDescent="0.3">
      <c r="A15" s="170" t="e">
        <f>(A14*D8)+A14</f>
        <v>#VALUE!</v>
      </c>
      <c r="C15" s="90"/>
      <c r="D15" s="168"/>
      <c r="E15" s="94">
        <f>(E14*D8)+E14</f>
        <v>490.51020408163265</v>
      </c>
      <c r="F15" s="164"/>
      <c r="G15" s="90"/>
      <c r="H15" s="90"/>
      <c r="I15" s="90"/>
      <c r="K15" s="107">
        <f>A27/D10</f>
        <v>136.0544217687075</v>
      </c>
      <c r="T15">
        <f>39.37*15</f>
        <v>590.54999999999995</v>
      </c>
    </row>
    <row r="16" spans="1:20" x14ac:dyDescent="0.25">
      <c r="A16" s="171" t="e">
        <f>A15+B5</f>
        <v>#VALUE!</v>
      </c>
      <c r="D16" s="168"/>
      <c r="E16" s="169">
        <f>E15+B5</f>
        <v>580.51020408163265</v>
      </c>
      <c r="F16" s="112">
        <f>B5/A10</f>
        <v>6</v>
      </c>
    </row>
    <row r="17" spans="1:19" ht="15.75" thickBot="1" x14ac:dyDescent="0.3">
      <c r="A17" s="171" t="e">
        <f>A16+B6</f>
        <v>#VALUE!</v>
      </c>
      <c r="D17" s="168"/>
      <c r="E17" s="169">
        <f>E16+B6</f>
        <v>590.51020408163265</v>
      </c>
      <c r="F17" s="113">
        <f>B6/A10</f>
        <v>0.66666666666666663</v>
      </c>
    </row>
    <row r="18" spans="1:19" x14ac:dyDescent="0.25">
      <c r="A18" s="170" t="e">
        <f>A17/A10</f>
        <v>#VALUE!</v>
      </c>
      <c r="C18" s="90"/>
      <c r="D18" s="168"/>
      <c r="E18" s="172">
        <f>E17/A10</f>
        <v>39.367346938775512</v>
      </c>
      <c r="F18" s="90"/>
      <c r="G18" s="90"/>
      <c r="H18" s="90"/>
      <c r="I18" s="90"/>
      <c r="S18">
        <v>25</v>
      </c>
    </row>
    <row r="19" spans="1:19" x14ac:dyDescent="0.25">
      <c r="D19" s="168"/>
      <c r="S19">
        <f>S18/D10</f>
        <v>34.013605442176875</v>
      </c>
    </row>
    <row r="20" spans="1:19" x14ac:dyDescent="0.25">
      <c r="A20" s="121" t="s">
        <v>30</v>
      </c>
      <c r="B20" s="121">
        <v>8</v>
      </c>
      <c r="E20" s="91">
        <f>E18*A10</f>
        <v>590.51020408163265</v>
      </c>
    </row>
    <row r="21" spans="1:19" x14ac:dyDescent="0.25">
      <c r="A21" s="121" t="s">
        <v>40</v>
      </c>
      <c r="B21" s="121">
        <v>15</v>
      </c>
    </row>
    <row r="22" spans="1:19" x14ac:dyDescent="0.25">
      <c r="A22" s="121" t="s">
        <v>12</v>
      </c>
      <c r="B22" s="121">
        <v>2</v>
      </c>
      <c r="E22" s="178">
        <f>E18*0.02</f>
        <v>0.78734693877551021</v>
      </c>
    </row>
    <row r="23" spans="1:19" x14ac:dyDescent="0.25">
      <c r="A23" s="121" t="s">
        <v>41</v>
      </c>
      <c r="B23" s="121">
        <v>1.5</v>
      </c>
      <c r="E23" s="91">
        <f>F12*0.02</f>
        <v>0.43537414965986393</v>
      </c>
    </row>
    <row r="24" spans="1:19" x14ac:dyDescent="0.25">
      <c r="A24" s="177" t="s">
        <v>57</v>
      </c>
      <c r="B24" s="177">
        <v>0</v>
      </c>
      <c r="E24" s="91"/>
    </row>
    <row r="25" spans="1:19" ht="15.75" thickBot="1" x14ac:dyDescent="0.3">
      <c r="B25">
        <v>100</v>
      </c>
    </row>
    <row r="26" spans="1:19" ht="15.75" thickBot="1" x14ac:dyDescent="0.3">
      <c r="A26" s="106">
        <f>D4+B2</f>
        <v>10.17</v>
      </c>
      <c r="B26">
        <f>B20+B21+B22+B23+B24</f>
        <v>26.5</v>
      </c>
    </row>
    <row r="27" spans="1:19" ht="15.75" thickBot="1" x14ac:dyDescent="0.3">
      <c r="A27" s="106">
        <f>B2+B4</f>
        <v>100</v>
      </c>
      <c r="B27">
        <f>B25-B26</f>
        <v>73.5</v>
      </c>
    </row>
  </sheetData>
  <mergeCells count="1">
    <mergeCell ref="D1:E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88A8C-3D71-4900-9740-80D075832D99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5EF0-F245-4CD3-A03D-E28E0508B867}">
  <dimension ref="A1:T37"/>
  <sheetViews>
    <sheetView zoomScaleNormal="100" workbookViewId="0">
      <selection activeCell="E5" sqref="E5"/>
    </sheetView>
  </sheetViews>
  <sheetFormatPr defaultRowHeight="15" x14ac:dyDescent="0.25"/>
  <cols>
    <col min="1" max="1" width="26.5703125" bestFit="1" customWidth="1"/>
    <col min="2" max="2" width="12.140625" bestFit="1" customWidth="1"/>
    <col min="3" max="3" width="12.140625" customWidth="1"/>
    <col min="4" max="4" width="9.85546875" customWidth="1"/>
    <col min="5" max="5" width="14.7109375" bestFit="1" customWidth="1"/>
    <col min="6" max="6" width="11.42578125" customWidth="1"/>
    <col min="7" max="7" width="15.5703125" customWidth="1"/>
    <col min="8" max="8" width="10.5703125" customWidth="1"/>
    <col min="9" max="9" width="10.7109375" customWidth="1"/>
    <col min="10" max="11" width="10.5703125" customWidth="1"/>
    <col min="12" max="12" width="9.140625" customWidth="1"/>
    <col min="13" max="13" width="13.42578125" customWidth="1"/>
    <col min="14" max="14" width="10.42578125" customWidth="1"/>
    <col min="15" max="15" width="10.5703125" customWidth="1"/>
    <col min="16" max="16" width="11.5703125" customWidth="1"/>
    <col min="17" max="17" width="14.140625" customWidth="1"/>
    <col min="18" max="19" width="17.42578125" customWidth="1"/>
    <col min="20" max="20" width="20.5703125" customWidth="1"/>
    <col min="21" max="21" width="14.28515625" bestFit="1" customWidth="1"/>
  </cols>
  <sheetData>
    <row r="1" spans="1:20" ht="15.75" thickBot="1" x14ac:dyDescent="0.3">
      <c r="A1" s="111" t="s">
        <v>53</v>
      </c>
      <c r="B1" s="150" t="s">
        <v>45</v>
      </c>
      <c r="C1" s="150"/>
      <c r="D1" s="176" t="s">
        <v>46</v>
      </c>
      <c r="E1" s="176"/>
      <c r="F1" t="s">
        <v>42</v>
      </c>
    </row>
    <row r="2" spans="1:20" ht="15.75" thickBot="1" x14ac:dyDescent="0.3">
      <c r="A2" s="148" t="s">
        <v>36</v>
      </c>
      <c r="B2" s="149">
        <v>10</v>
      </c>
      <c r="C2" s="92"/>
      <c r="D2" s="151"/>
      <c r="E2" s="152">
        <f>B2*A10</f>
        <v>150</v>
      </c>
      <c r="G2" s="91">
        <f>B2*A10</f>
        <v>150</v>
      </c>
      <c r="M2" s="91" t="e">
        <f>M4*A10</f>
        <v>#REF!</v>
      </c>
      <c r="N2" s="91">
        <f>N4*A10</f>
        <v>7.5</v>
      </c>
      <c r="O2" s="91">
        <f>O4*A10</f>
        <v>1.5</v>
      </c>
    </row>
    <row r="3" spans="1:20" ht="15.75" thickBot="1" x14ac:dyDescent="0.3">
      <c r="A3" s="141"/>
      <c r="B3" s="142"/>
      <c r="C3" s="92"/>
      <c r="D3" s="153"/>
      <c r="E3" s="154"/>
      <c r="F3" s="93" t="s">
        <v>43</v>
      </c>
      <c r="I3" s="131" t="s">
        <v>51</v>
      </c>
      <c r="J3" s="132" t="s">
        <v>48</v>
      </c>
      <c r="K3" s="131" t="s">
        <v>44</v>
      </c>
      <c r="M3" s="133" t="s">
        <v>50</v>
      </c>
      <c r="N3" s="131" t="s">
        <v>27</v>
      </c>
      <c r="O3" s="132" t="s">
        <v>29</v>
      </c>
      <c r="P3" s="133" t="s">
        <v>52</v>
      </c>
    </row>
    <row r="4" spans="1:20" ht="15.75" thickBot="1" x14ac:dyDescent="0.3">
      <c r="A4" s="145" t="s">
        <v>47</v>
      </c>
      <c r="B4" s="159">
        <f>90*E8</f>
        <v>90</v>
      </c>
      <c r="C4" s="180"/>
      <c r="D4" s="161">
        <f>0.17*E8</f>
        <v>0.17</v>
      </c>
      <c r="E4" s="159">
        <f>A10*D4</f>
        <v>2.5500000000000003</v>
      </c>
      <c r="F4" s="111" t="s">
        <v>54</v>
      </c>
      <c r="I4" s="134" t="e">
        <f>#REF!</f>
        <v>#REF!</v>
      </c>
      <c r="J4" s="135">
        <f>A8/A10</f>
        <v>6.666666666666667</v>
      </c>
      <c r="K4" s="134" t="e">
        <f>I4+J4</f>
        <v>#REF!</v>
      </c>
      <c r="M4" s="137" t="e">
        <f>K4*D8+K4</f>
        <v>#REF!</v>
      </c>
      <c r="N4" s="134">
        <f>D5</f>
        <v>0.5</v>
      </c>
      <c r="O4" s="135">
        <f>D6</f>
        <v>0.1</v>
      </c>
      <c r="P4" s="138" t="e">
        <f>M4+N4+O4</f>
        <v>#REF!</v>
      </c>
      <c r="Q4" s="91" t="e">
        <f>P4*A10</f>
        <v>#REF!</v>
      </c>
    </row>
    <row r="5" spans="1:20" ht="15.75" thickBot="1" x14ac:dyDescent="0.3">
      <c r="A5" s="143" t="s">
        <v>37</v>
      </c>
      <c r="B5" s="144">
        <v>90</v>
      </c>
      <c r="C5" s="181">
        <f>B5/D11</f>
        <v>100</v>
      </c>
      <c r="D5" s="155">
        <f>B2*F5</f>
        <v>0.5</v>
      </c>
      <c r="E5" s="156">
        <f>D5*A10</f>
        <v>7.5</v>
      </c>
      <c r="F5" s="119">
        <v>0.05</v>
      </c>
      <c r="G5" s="123">
        <v>1</v>
      </c>
      <c r="H5" s="124"/>
      <c r="I5" s="125">
        <f>K15</f>
        <v>170.94017094017096</v>
      </c>
      <c r="J5" s="126">
        <f>A8</f>
        <v>100</v>
      </c>
      <c r="K5" s="127">
        <f>I5+J5</f>
        <v>270.94017094017096</v>
      </c>
      <c r="L5" s="128">
        <v>0.15</v>
      </c>
      <c r="M5" s="129">
        <f>K5*L5+K5</f>
        <v>311.58119658119659</v>
      </c>
      <c r="N5" s="127">
        <f>B5</f>
        <v>90</v>
      </c>
      <c r="O5" s="125">
        <f>B6</f>
        <v>10</v>
      </c>
      <c r="P5" s="130">
        <f>M5+N5+O5</f>
        <v>411.58119658119659</v>
      </c>
      <c r="Q5" s="122"/>
    </row>
    <row r="6" spans="1:20" ht="15.75" thickBot="1" x14ac:dyDescent="0.3">
      <c r="A6" s="139" t="s">
        <v>38</v>
      </c>
      <c r="B6" s="140">
        <v>10</v>
      </c>
      <c r="C6" s="181">
        <f>B6/D11</f>
        <v>11.111111111111111</v>
      </c>
      <c r="D6" s="157">
        <f>B2*F6</f>
        <v>0.1</v>
      </c>
      <c r="E6" s="158">
        <f>D6*A10</f>
        <v>1.5</v>
      </c>
      <c r="F6" s="119">
        <v>0.01</v>
      </c>
    </row>
    <row r="7" spans="1:20" ht="15.75" thickBot="1" x14ac:dyDescent="0.3">
      <c r="A7" s="162" t="s">
        <v>39</v>
      </c>
      <c r="B7" s="91">
        <f>B2+B4+B5+B6</f>
        <v>200</v>
      </c>
      <c r="C7" s="91">
        <f>A8/D11</f>
        <v>111.11111111111111</v>
      </c>
      <c r="D7" s="132" t="s">
        <v>2</v>
      </c>
      <c r="E7" s="93" t="s">
        <v>49</v>
      </c>
      <c r="F7" s="164"/>
    </row>
    <row r="8" spans="1:20" ht="15.75" thickBot="1" x14ac:dyDescent="0.3">
      <c r="A8" s="163">
        <v>100</v>
      </c>
      <c r="B8" s="147">
        <f>(B2*A10)+B4</f>
        <v>240</v>
      </c>
      <c r="D8" s="136">
        <v>0</v>
      </c>
      <c r="E8" s="146">
        <v>1</v>
      </c>
      <c r="F8" s="164"/>
    </row>
    <row r="9" spans="1:20" x14ac:dyDescent="0.25">
      <c r="A9" s="166" t="s">
        <v>25</v>
      </c>
      <c r="B9" s="91">
        <f>B8/D10</f>
        <v>410.25641025641028</v>
      </c>
      <c r="C9" s="91">
        <f>B9*0.04</f>
        <v>16.410256410256412</v>
      </c>
      <c r="D9" s="117" t="s">
        <v>55</v>
      </c>
      <c r="F9" s="164"/>
    </row>
    <row r="10" spans="1:20" ht="15.75" thickBot="1" x14ac:dyDescent="0.3">
      <c r="A10" s="167">
        <v>15</v>
      </c>
      <c r="B10" s="91">
        <f>B9</f>
        <v>410.25641025641028</v>
      </c>
      <c r="C10" s="91">
        <f>C5*0.02</f>
        <v>2</v>
      </c>
      <c r="D10" s="165">
        <f>B27/100</f>
        <v>0.58499999999999996</v>
      </c>
      <c r="F10" s="164"/>
    </row>
    <row r="11" spans="1:20" x14ac:dyDescent="0.25">
      <c r="A11" s="170" t="s">
        <v>56</v>
      </c>
      <c r="B11" s="91">
        <f>B10+C5+C6+C7</f>
        <v>632.47863247863245</v>
      </c>
      <c r="C11" s="91">
        <f>C6*0.02</f>
        <v>0.22222222222222221</v>
      </c>
      <c r="D11" s="165">
        <f>B37/100</f>
        <v>0.9</v>
      </c>
      <c r="E11" s="94">
        <f>B2*A10</f>
        <v>150</v>
      </c>
      <c r="F11" s="164"/>
    </row>
    <row r="12" spans="1:20" x14ac:dyDescent="0.25">
      <c r="A12" s="171" t="e">
        <f>A11+B4</f>
        <v>#VALUE!</v>
      </c>
      <c r="B12" s="147"/>
      <c r="C12" s="91">
        <f>C7*0.02</f>
        <v>2.2222222222222223</v>
      </c>
      <c r="D12" s="168"/>
      <c r="E12" s="169">
        <f>E2+B4</f>
        <v>240</v>
      </c>
      <c r="F12" s="179">
        <f>E13/15</f>
        <v>27.350427350427353</v>
      </c>
      <c r="G12" s="120"/>
    </row>
    <row r="13" spans="1:20" x14ac:dyDescent="0.25">
      <c r="A13" s="170" t="e">
        <f>A12/D10</f>
        <v>#VALUE!</v>
      </c>
      <c r="B13" s="147">
        <f>B11+B12</f>
        <v>632.47863247863245</v>
      </c>
      <c r="C13" s="91">
        <f>A8+B6+B5+B4</f>
        <v>290</v>
      </c>
      <c r="D13" s="168"/>
      <c r="E13" s="94">
        <f>E12/D10</f>
        <v>410.25641025641028</v>
      </c>
      <c r="F13" s="179">
        <f>E13*0.02/A10</f>
        <v>0.54700854700854706</v>
      </c>
      <c r="G13" s="120"/>
    </row>
    <row r="14" spans="1:20" ht="15.75" thickBot="1" x14ac:dyDescent="0.3">
      <c r="A14" s="170" t="e">
        <f>A13+A8</f>
        <v>#VALUE!</v>
      </c>
      <c r="B14" s="91">
        <f>B13/A10</f>
        <v>42.165242165242162</v>
      </c>
      <c r="C14" s="91">
        <f>A10*B2</f>
        <v>150</v>
      </c>
      <c r="D14" s="168"/>
      <c r="E14" s="94">
        <f>E13+A8</f>
        <v>510.25641025641028</v>
      </c>
      <c r="F14" s="164"/>
    </row>
    <row r="15" spans="1:20" ht="15.75" thickBot="1" x14ac:dyDescent="0.3">
      <c r="A15" s="170" t="e">
        <f>(A14*D8)+A14</f>
        <v>#VALUE!</v>
      </c>
      <c r="B15" s="91">
        <f>(B14*0.02)*15</f>
        <v>12.649572649572649</v>
      </c>
      <c r="C15" s="90"/>
      <c r="D15" s="168"/>
      <c r="E15" s="94">
        <f>(E14*D8)+E14</f>
        <v>510.25641025641028</v>
      </c>
      <c r="F15" s="164"/>
      <c r="G15" s="90"/>
      <c r="H15" s="90"/>
      <c r="I15" s="90"/>
      <c r="K15" s="107">
        <f>A27/D10</f>
        <v>170.94017094017096</v>
      </c>
      <c r="T15">
        <f>39.37*15</f>
        <v>590.54999999999995</v>
      </c>
    </row>
    <row r="16" spans="1:20" x14ac:dyDescent="0.25">
      <c r="A16" s="171" t="e">
        <f>A15+B5</f>
        <v>#VALUE!</v>
      </c>
      <c r="D16" s="168"/>
      <c r="E16" s="169">
        <f>E15+B5</f>
        <v>600.25641025641028</v>
      </c>
      <c r="F16" s="112">
        <f>B5/A10</f>
        <v>6</v>
      </c>
    </row>
    <row r="17" spans="1:19" ht="15.75" thickBot="1" x14ac:dyDescent="0.3">
      <c r="A17" s="171" t="e">
        <f>A16+B6</f>
        <v>#VALUE!</v>
      </c>
      <c r="D17" s="168"/>
      <c r="E17" s="169">
        <f>E16+B6</f>
        <v>610.25641025641028</v>
      </c>
      <c r="F17" s="113">
        <f>B6/A10</f>
        <v>0.66666666666666663</v>
      </c>
    </row>
    <row r="18" spans="1:19" x14ac:dyDescent="0.25">
      <c r="A18" s="170" t="e">
        <f>A17/A10</f>
        <v>#VALUE!</v>
      </c>
      <c r="C18" s="90"/>
      <c r="D18" s="168"/>
      <c r="E18" s="172">
        <f>E17/A10</f>
        <v>40.683760683760688</v>
      </c>
      <c r="F18" s="90"/>
      <c r="G18" s="90"/>
      <c r="H18" s="90"/>
      <c r="I18" s="90"/>
      <c r="S18">
        <v>25</v>
      </c>
    </row>
    <row r="19" spans="1:19" x14ac:dyDescent="0.25">
      <c r="D19" s="168"/>
      <c r="S19">
        <f>S18/D10</f>
        <v>42.73504273504274</v>
      </c>
    </row>
    <row r="20" spans="1:19" x14ac:dyDescent="0.25">
      <c r="A20" s="121" t="s">
        <v>30</v>
      </c>
      <c r="B20" s="121">
        <v>8</v>
      </c>
      <c r="E20" s="91">
        <f>E18*A10</f>
        <v>610.25641025641028</v>
      </c>
    </row>
    <row r="21" spans="1:19" x14ac:dyDescent="0.25">
      <c r="A21" s="121" t="s">
        <v>40</v>
      </c>
      <c r="B21" s="121">
        <v>15</v>
      </c>
    </row>
    <row r="22" spans="1:19" x14ac:dyDescent="0.25">
      <c r="A22" s="121" t="s">
        <v>12</v>
      </c>
      <c r="B22" s="121">
        <v>2</v>
      </c>
      <c r="E22" s="178">
        <f>E18*0.02</f>
        <v>0.81367521367521378</v>
      </c>
    </row>
    <row r="23" spans="1:19" x14ac:dyDescent="0.25">
      <c r="A23" s="121" t="s">
        <v>41</v>
      </c>
      <c r="B23" s="121">
        <v>1.5</v>
      </c>
      <c r="E23" s="91">
        <f>F12*0.02</f>
        <v>0.54700854700854706</v>
      </c>
    </row>
    <row r="24" spans="1:19" x14ac:dyDescent="0.25">
      <c r="A24" s="177" t="s">
        <v>57</v>
      </c>
      <c r="B24" s="177">
        <v>15</v>
      </c>
      <c r="E24" s="91"/>
    </row>
    <row r="25" spans="1:19" ht="15.75" thickBot="1" x14ac:dyDescent="0.3">
      <c r="B25">
        <v>100</v>
      </c>
    </row>
    <row r="26" spans="1:19" ht="15.75" thickBot="1" x14ac:dyDescent="0.3">
      <c r="A26" s="106">
        <f>D4+B2</f>
        <v>10.17</v>
      </c>
      <c r="B26">
        <f>B20+B21+B22+B23+B24</f>
        <v>41.5</v>
      </c>
    </row>
    <row r="27" spans="1:19" ht="15.75" thickBot="1" x14ac:dyDescent="0.3">
      <c r="A27" s="106">
        <f>B2+B4</f>
        <v>100</v>
      </c>
      <c r="B27">
        <f>B25-B26</f>
        <v>58.5</v>
      </c>
    </row>
    <row r="30" spans="1:19" x14ac:dyDescent="0.25">
      <c r="A30" s="121" t="s">
        <v>30</v>
      </c>
      <c r="B30" s="121">
        <v>8</v>
      </c>
    </row>
    <row r="31" spans="1:19" x14ac:dyDescent="0.25">
      <c r="A31" s="121"/>
      <c r="B31" s="121"/>
    </row>
    <row r="32" spans="1:19" x14ac:dyDescent="0.25">
      <c r="A32" s="121" t="s">
        <v>12</v>
      </c>
      <c r="B32" s="121">
        <v>2</v>
      </c>
    </row>
    <row r="33" spans="1:2" x14ac:dyDescent="0.25">
      <c r="A33" s="121"/>
      <c r="B33" s="121"/>
    </row>
    <row r="34" spans="1:2" x14ac:dyDescent="0.25">
      <c r="A34" s="177"/>
      <c r="B34" s="177">
        <v>0</v>
      </c>
    </row>
    <row r="35" spans="1:2" ht="15.75" thickBot="1" x14ac:dyDescent="0.3">
      <c r="B35">
        <v>100</v>
      </c>
    </row>
    <row r="36" spans="1:2" ht="15.75" thickBot="1" x14ac:dyDescent="0.3">
      <c r="A36" s="106">
        <f>D14+B12</f>
        <v>0</v>
      </c>
      <c r="B36">
        <f>B30+B31+B32+B33+B34</f>
        <v>10</v>
      </c>
    </row>
    <row r="37" spans="1:2" ht="15.75" thickBot="1" x14ac:dyDescent="0.3">
      <c r="A37" s="106">
        <f>B12+B14</f>
        <v>42.165242165242162</v>
      </c>
      <c r="B37">
        <f>B35-B36</f>
        <v>90</v>
      </c>
    </row>
  </sheetData>
  <mergeCells count="1">
    <mergeCell ref="D1:E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81EA-BB3E-4E47-9442-2833C0C0F562}">
  <dimension ref="A1:T37"/>
  <sheetViews>
    <sheetView zoomScaleNormal="100" workbookViewId="0">
      <selection activeCell="D6" sqref="D6"/>
    </sheetView>
  </sheetViews>
  <sheetFormatPr defaultRowHeight="15" x14ac:dyDescent="0.25"/>
  <cols>
    <col min="1" max="1" width="26.5703125" bestFit="1" customWidth="1"/>
    <col min="2" max="2" width="12.140625" bestFit="1" customWidth="1"/>
    <col min="3" max="3" width="12.140625" customWidth="1"/>
    <col min="4" max="4" width="9.85546875" customWidth="1"/>
    <col min="5" max="5" width="14.7109375" bestFit="1" customWidth="1"/>
    <col min="6" max="6" width="11.42578125" customWidth="1"/>
    <col min="7" max="7" width="15.5703125" customWidth="1"/>
    <col min="8" max="8" width="10.5703125" customWidth="1"/>
    <col min="9" max="9" width="10.7109375" customWidth="1"/>
    <col min="10" max="11" width="10.5703125" customWidth="1"/>
    <col min="12" max="12" width="9.140625" customWidth="1"/>
    <col min="13" max="13" width="13.42578125" customWidth="1"/>
    <col min="14" max="14" width="10.42578125" customWidth="1"/>
    <col min="15" max="15" width="10.5703125" customWidth="1"/>
    <col min="16" max="16" width="11.5703125" customWidth="1"/>
    <col min="17" max="17" width="14.140625" customWidth="1"/>
    <col min="18" max="19" width="17.42578125" customWidth="1"/>
    <col min="20" max="20" width="20.5703125" customWidth="1"/>
    <col min="21" max="21" width="14.28515625" bestFit="1" customWidth="1"/>
  </cols>
  <sheetData>
    <row r="1" spans="1:20" ht="15.75" thickBot="1" x14ac:dyDescent="0.3">
      <c r="A1" s="111" t="s">
        <v>53</v>
      </c>
      <c r="B1" s="150" t="s">
        <v>45</v>
      </c>
      <c r="C1" s="150"/>
      <c r="D1" s="176" t="s">
        <v>46</v>
      </c>
      <c r="E1" s="176"/>
      <c r="F1" t="s">
        <v>42</v>
      </c>
    </row>
    <row r="2" spans="1:20" ht="15.75" thickBot="1" x14ac:dyDescent="0.3">
      <c r="A2" s="148" t="s">
        <v>36</v>
      </c>
      <c r="B2" s="149">
        <v>10</v>
      </c>
      <c r="C2" s="92"/>
      <c r="D2" s="151"/>
      <c r="E2" s="152">
        <f>B2*A10</f>
        <v>150</v>
      </c>
      <c r="G2" s="91">
        <f>B2*A10</f>
        <v>150</v>
      </c>
      <c r="M2" s="91" t="e">
        <f>M4*A10</f>
        <v>#REF!</v>
      </c>
      <c r="N2" s="91">
        <f>N4*A10</f>
        <v>7.5</v>
      </c>
      <c r="O2" s="91">
        <f>O4*A10</f>
        <v>1.5</v>
      </c>
    </row>
    <row r="3" spans="1:20" ht="15.75" thickBot="1" x14ac:dyDescent="0.3">
      <c r="A3" s="141"/>
      <c r="B3" s="142"/>
      <c r="C3" s="92"/>
      <c r="D3" s="153"/>
      <c r="E3" s="154"/>
      <c r="F3" s="93" t="s">
        <v>43</v>
      </c>
      <c r="I3" s="131" t="s">
        <v>51</v>
      </c>
      <c r="J3" s="132" t="s">
        <v>48</v>
      </c>
      <c r="K3" s="131" t="s">
        <v>44</v>
      </c>
      <c r="M3" s="133" t="s">
        <v>50</v>
      </c>
      <c r="N3" s="131" t="s">
        <v>27</v>
      </c>
      <c r="O3" s="132" t="s">
        <v>29</v>
      </c>
      <c r="P3" s="133" t="s">
        <v>52</v>
      </c>
    </row>
    <row r="4" spans="1:20" ht="15.75" thickBot="1" x14ac:dyDescent="0.3">
      <c r="A4" s="145" t="s">
        <v>47</v>
      </c>
      <c r="B4" s="159">
        <f>90*E8</f>
        <v>90</v>
      </c>
      <c r="C4" s="180"/>
      <c r="D4" s="161">
        <f>0.17*E8</f>
        <v>0.17</v>
      </c>
      <c r="E4" s="159">
        <f>A10*D4</f>
        <v>2.5500000000000003</v>
      </c>
      <c r="F4" s="111" t="s">
        <v>54</v>
      </c>
      <c r="I4" s="134" t="e">
        <f>#REF!</f>
        <v>#REF!</v>
      </c>
      <c r="J4" s="135">
        <f>A8/A10</f>
        <v>6.666666666666667</v>
      </c>
      <c r="K4" s="134" t="e">
        <f>I4+J4</f>
        <v>#REF!</v>
      </c>
      <c r="M4" s="137" t="e">
        <f>K4*D8+K4</f>
        <v>#REF!</v>
      </c>
      <c r="N4" s="134">
        <f>D5</f>
        <v>0.5</v>
      </c>
      <c r="O4" s="135">
        <f>D6</f>
        <v>0.1</v>
      </c>
      <c r="P4" s="138" t="e">
        <f>M4+N4+O4</f>
        <v>#REF!</v>
      </c>
      <c r="Q4" s="91" t="e">
        <f>P4*A10</f>
        <v>#REF!</v>
      </c>
    </row>
    <row r="5" spans="1:20" ht="15.75" thickBot="1" x14ac:dyDescent="0.3">
      <c r="A5" s="143" t="s">
        <v>37</v>
      </c>
      <c r="B5" s="144">
        <v>90</v>
      </c>
      <c r="C5" s="181">
        <f>B5/D11</f>
        <v>100</v>
      </c>
      <c r="D5" s="155">
        <f>B2*F5</f>
        <v>0.5</v>
      </c>
      <c r="E5" s="156">
        <f>D5*A10</f>
        <v>7.5</v>
      </c>
      <c r="F5" s="119">
        <v>0.05</v>
      </c>
      <c r="G5" s="123">
        <v>1</v>
      </c>
      <c r="H5" s="124"/>
      <c r="I5" s="125">
        <f>K15</f>
        <v>170.94017094017096</v>
      </c>
      <c r="J5" s="126">
        <f>A8</f>
        <v>100</v>
      </c>
      <c r="K5" s="127">
        <f>I5+J5</f>
        <v>270.94017094017096</v>
      </c>
      <c r="L5" s="128">
        <v>0.15</v>
      </c>
      <c r="M5" s="129">
        <f>K5*L5+K5</f>
        <v>311.58119658119659</v>
      </c>
      <c r="N5" s="127">
        <f>B5</f>
        <v>90</v>
      </c>
      <c r="O5" s="125">
        <f>B6</f>
        <v>10</v>
      </c>
      <c r="P5" s="130">
        <f>M5+N5+O5</f>
        <v>411.58119658119659</v>
      </c>
      <c r="Q5" s="122"/>
    </row>
    <row r="6" spans="1:20" ht="15.75" thickBot="1" x14ac:dyDescent="0.3">
      <c r="A6" s="139" t="s">
        <v>38</v>
      </c>
      <c r="B6" s="140">
        <v>10</v>
      </c>
      <c r="C6" s="181">
        <f>B6/D11</f>
        <v>11.111111111111111</v>
      </c>
      <c r="D6" s="157">
        <f>B2*F6</f>
        <v>0.1</v>
      </c>
      <c r="E6" s="158">
        <f>D6*A10</f>
        <v>1.5</v>
      </c>
      <c r="F6" s="119">
        <v>0.01</v>
      </c>
    </row>
    <row r="7" spans="1:20" ht="15.75" thickBot="1" x14ac:dyDescent="0.3">
      <c r="A7" s="162" t="s">
        <v>39</v>
      </c>
      <c r="B7" s="91">
        <f>B2+B4+B5+B6</f>
        <v>200</v>
      </c>
      <c r="C7" s="91">
        <f>A8/D11</f>
        <v>111.11111111111111</v>
      </c>
      <c r="D7" s="132" t="s">
        <v>2</v>
      </c>
      <c r="E7" s="93" t="s">
        <v>49</v>
      </c>
      <c r="F7" s="164"/>
    </row>
    <row r="8" spans="1:20" ht="15.75" thickBot="1" x14ac:dyDescent="0.3">
      <c r="A8" s="163">
        <v>100</v>
      </c>
      <c r="B8" s="147">
        <f>(B2*A10)+B4</f>
        <v>240</v>
      </c>
      <c r="D8" s="136">
        <v>0</v>
      </c>
      <c r="E8" s="146">
        <v>1</v>
      </c>
      <c r="F8" s="164"/>
    </row>
    <row r="9" spans="1:20" x14ac:dyDescent="0.25">
      <c r="A9" s="166" t="s">
        <v>25</v>
      </c>
      <c r="B9" s="91">
        <f>B8/D10</f>
        <v>410.25641025641028</v>
      </c>
      <c r="C9" s="91">
        <f>B9*0.04</f>
        <v>16.410256410256412</v>
      </c>
      <c r="D9" s="117" t="s">
        <v>55</v>
      </c>
      <c r="F9" s="164"/>
    </row>
    <row r="10" spans="1:20" ht="15.75" thickBot="1" x14ac:dyDescent="0.3">
      <c r="A10" s="167">
        <v>15</v>
      </c>
      <c r="B10" s="91">
        <f>B9</f>
        <v>410.25641025641028</v>
      </c>
      <c r="C10" s="91">
        <f>C5*0.02</f>
        <v>2</v>
      </c>
      <c r="D10" s="165">
        <f>B27/100</f>
        <v>0.58499999999999996</v>
      </c>
      <c r="F10" s="164"/>
    </row>
    <row r="11" spans="1:20" x14ac:dyDescent="0.25">
      <c r="A11" s="170" t="s">
        <v>56</v>
      </c>
      <c r="B11" s="91">
        <f>B10+C5+C6+C7</f>
        <v>632.47863247863245</v>
      </c>
      <c r="C11" s="91">
        <f>C6*0.02</f>
        <v>0.22222222222222221</v>
      </c>
      <c r="D11" s="165">
        <f>B37/100</f>
        <v>0.9</v>
      </c>
      <c r="E11" s="94">
        <f>B2*A10</f>
        <v>150</v>
      </c>
      <c r="F11" s="164"/>
    </row>
    <row r="12" spans="1:20" x14ac:dyDescent="0.25">
      <c r="A12" s="171" t="e">
        <f>A11+B4</f>
        <v>#VALUE!</v>
      </c>
      <c r="B12" s="147"/>
      <c r="C12" s="91">
        <f>C7*0.02</f>
        <v>2.2222222222222223</v>
      </c>
      <c r="D12" s="168"/>
      <c r="E12" s="169">
        <f>E2+B4</f>
        <v>240</v>
      </c>
      <c r="F12" s="179">
        <f>E13/15</f>
        <v>27.350427350427353</v>
      </c>
      <c r="G12" s="120"/>
    </row>
    <row r="13" spans="1:20" x14ac:dyDescent="0.25">
      <c r="A13" s="170" t="e">
        <f>A12/D10</f>
        <v>#VALUE!</v>
      </c>
      <c r="B13" s="147">
        <f>B11+B12</f>
        <v>632.47863247863245</v>
      </c>
      <c r="C13" s="91">
        <f>A8+B6+B5+B4</f>
        <v>290</v>
      </c>
      <c r="D13" s="168"/>
      <c r="E13" s="94">
        <f>E12/D10</f>
        <v>410.25641025641028</v>
      </c>
      <c r="F13" s="179">
        <f>E13*0.02/A10</f>
        <v>0.54700854700854706</v>
      </c>
      <c r="G13" s="120"/>
    </row>
    <row r="14" spans="1:20" ht="15.75" thickBot="1" x14ac:dyDescent="0.3">
      <c r="A14" s="170" t="e">
        <f>A13+A8</f>
        <v>#VALUE!</v>
      </c>
      <c r="B14" s="91">
        <f>B13/A10</f>
        <v>42.165242165242162</v>
      </c>
      <c r="C14" s="91">
        <f>A10*B2</f>
        <v>150</v>
      </c>
      <c r="D14" s="168"/>
      <c r="E14" s="94">
        <f>E13+A8</f>
        <v>510.25641025641028</v>
      </c>
      <c r="F14" s="164"/>
    </row>
    <row r="15" spans="1:20" ht="15.75" thickBot="1" x14ac:dyDescent="0.3">
      <c r="A15" s="170" t="e">
        <f>(A14*D8)+A14</f>
        <v>#VALUE!</v>
      </c>
      <c r="B15" s="91">
        <f>(B14*0.02)*15</f>
        <v>12.649572649572649</v>
      </c>
      <c r="C15" s="90"/>
      <c r="D15" s="168"/>
      <c r="E15" s="94">
        <f>(E14*D8)+E14</f>
        <v>510.25641025641028</v>
      </c>
      <c r="F15" s="164"/>
      <c r="G15" s="90"/>
      <c r="H15" s="90"/>
      <c r="I15" s="90"/>
      <c r="K15" s="107">
        <f>A27/D10</f>
        <v>170.94017094017096</v>
      </c>
      <c r="T15">
        <f>39.37*15</f>
        <v>590.54999999999995</v>
      </c>
    </row>
    <row r="16" spans="1:20" x14ac:dyDescent="0.25">
      <c r="A16" s="171" t="e">
        <f>A15+B5</f>
        <v>#VALUE!</v>
      </c>
      <c r="D16" s="168"/>
      <c r="E16" s="169">
        <f>E15+B5</f>
        <v>600.25641025641028</v>
      </c>
      <c r="F16" s="112">
        <f>B5/A10</f>
        <v>6</v>
      </c>
    </row>
    <row r="17" spans="1:19" ht="15.75" thickBot="1" x14ac:dyDescent="0.3">
      <c r="A17" s="171" t="e">
        <f>A16+B6</f>
        <v>#VALUE!</v>
      </c>
      <c r="D17" s="168"/>
      <c r="E17" s="169">
        <f>E16+B6</f>
        <v>610.25641025641028</v>
      </c>
      <c r="F17" s="113">
        <f>B6/A10</f>
        <v>0.66666666666666663</v>
      </c>
    </row>
    <row r="18" spans="1:19" x14ac:dyDescent="0.25">
      <c r="A18" s="170" t="e">
        <f>A17/A10</f>
        <v>#VALUE!</v>
      </c>
      <c r="C18" s="90"/>
      <c r="D18" s="168"/>
      <c r="E18" s="172">
        <f>E17/A10</f>
        <v>40.683760683760688</v>
      </c>
      <c r="F18" s="90"/>
      <c r="G18" s="90"/>
      <c r="H18" s="90"/>
      <c r="I18" s="90"/>
      <c r="S18">
        <v>25</v>
      </c>
    </row>
    <row r="19" spans="1:19" x14ac:dyDescent="0.25">
      <c r="D19" s="168"/>
      <c r="S19">
        <f>S18/D10</f>
        <v>42.73504273504274</v>
      </c>
    </row>
    <row r="20" spans="1:19" x14ac:dyDescent="0.25">
      <c r="A20" s="121" t="s">
        <v>30</v>
      </c>
      <c r="B20" s="121">
        <v>8</v>
      </c>
      <c r="E20" s="91">
        <f>E18*A10</f>
        <v>610.25641025641028</v>
      </c>
    </row>
    <row r="21" spans="1:19" x14ac:dyDescent="0.25">
      <c r="A21" s="121" t="s">
        <v>40</v>
      </c>
      <c r="B21" s="121">
        <v>15</v>
      </c>
    </row>
    <row r="22" spans="1:19" x14ac:dyDescent="0.25">
      <c r="A22" s="121" t="s">
        <v>12</v>
      </c>
      <c r="B22" s="121">
        <v>2</v>
      </c>
      <c r="E22" s="178">
        <f>E18*0.02</f>
        <v>0.81367521367521378</v>
      </c>
    </row>
    <row r="23" spans="1:19" x14ac:dyDescent="0.25">
      <c r="A23" s="121" t="s">
        <v>41</v>
      </c>
      <c r="B23" s="121">
        <v>1.5</v>
      </c>
      <c r="E23" s="91">
        <f>F12*0.02</f>
        <v>0.54700854700854706</v>
      </c>
    </row>
    <row r="24" spans="1:19" x14ac:dyDescent="0.25">
      <c r="A24" s="177" t="s">
        <v>57</v>
      </c>
      <c r="B24" s="177">
        <v>15</v>
      </c>
      <c r="E24" s="91"/>
    </row>
    <row r="25" spans="1:19" ht="15.75" thickBot="1" x14ac:dyDescent="0.3">
      <c r="B25">
        <v>100</v>
      </c>
    </row>
    <row r="26" spans="1:19" ht="15.75" thickBot="1" x14ac:dyDescent="0.3">
      <c r="A26" s="106">
        <f>D4+B2</f>
        <v>10.17</v>
      </c>
      <c r="B26">
        <f>B20+B21+B22+B23+B24</f>
        <v>41.5</v>
      </c>
    </row>
    <row r="27" spans="1:19" ht="15.75" thickBot="1" x14ac:dyDescent="0.3">
      <c r="A27" s="106">
        <f>B2+B4</f>
        <v>100</v>
      </c>
      <c r="B27">
        <f>B25-B26</f>
        <v>58.5</v>
      </c>
    </row>
    <row r="30" spans="1:19" x14ac:dyDescent="0.25">
      <c r="A30" s="121" t="s">
        <v>30</v>
      </c>
      <c r="B30" s="121">
        <v>8</v>
      </c>
    </row>
    <row r="31" spans="1:19" x14ac:dyDescent="0.25">
      <c r="A31" s="121"/>
      <c r="B31" s="121"/>
    </row>
    <row r="32" spans="1:19" x14ac:dyDescent="0.25">
      <c r="A32" s="121" t="s">
        <v>12</v>
      </c>
      <c r="B32" s="121">
        <v>2</v>
      </c>
    </row>
    <row r="33" spans="1:2" x14ac:dyDescent="0.25">
      <c r="A33" s="121"/>
      <c r="B33" s="121"/>
    </row>
    <row r="34" spans="1:2" x14ac:dyDescent="0.25">
      <c r="A34" s="177"/>
      <c r="B34" s="177">
        <v>0</v>
      </c>
    </row>
    <row r="35" spans="1:2" ht="15.75" thickBot="1" x14ac:dyDescent="0.3">
      <c r="B35">
        <v>100</v>
      </c>
    </row>
    <row r="36" spans="1:2" ht="15.75" thickBot="1" x14ac:dyDescent="0.3">
      <c r="A36" s="106">
        <f>D14+B12</f>
        <v>0</v>
      </c>
      <c r="B36">
        <f>B30+B31+B32+B33+B34</f>
        <v>10</v>
      </c>
    </row>
    <row r="37" spans="1:2" ht="15.75" thickBot="1" x14ac:dyDescent="0.3">
      <c r="A37" s="106">
        <f>B12+B14</f>
        <v>42.165242165242162</v>
      </c>
      <c r="B37">
        <f>B35-B36</f>
        <v>90</v>
      </c>
    </row>
  </sheetData>
  <mergeCells count="1">
    <mergeCell ref="D1:E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4670E-5E23-4E80-A1F4-042D87BE0BF1}">
  <dimension ref="A1:K21"/>
  <sheetViews>
    <sheetView tabSelected="1" workbookViewId="0">
      <selection activeCell="I11" sqref="I11"/>
    </sheetView>
  </sheetViews>
  <sheetFormatPr defaultRowHeight="15" x14ac:dyDescent="0.25"/>
  <cols>
    <col min="1" max="1" width="25.7109375" bestFit="1" customWidth="1"/>
    <col min="2" max="2" width="11.5703125" bestFit="1" customWidth="1"/>
    <col min="3" max="5" width="10.5703125" bestFit="1" customWidth="1"/>
  </cols>
  <sheetData>
    <row r="1" spans="1:11" x14ac:dyDescent="0.25">
      <c r="A1" t="s">
        <v>58</v>
      </c>
      <c r="D1" t="s">
        <v>59</v>
      </c>
    </row>
    <row r="2" spans="1:11" x14ac:dyDescent="0.25">
      <c r="A2" s="121" t="s">
        <v>30</v>
      </c>
      <c r="B2" s="121">
        <v>10</v>
      </c>
      <c r="C2" s="121"/>
      <c r="D2" s="121" t="s">
        <v>30</v>
      </c>
      <c r="E2" s="121">
        <v>8</v>
      </c>
    </row>
    <row r="3" spans="1:11" x14ac:dyDescent="0.25">
      <c r="A3" s="121" t="s">
        <v>40</v>
      </c>
      <c r="B3" s="121">
        <v>10</v>
      </c>
      <c r="C3" s="121"/>
      <c r="D3" s="121" t="s">
        <v>12</v>
      </c>
      <c r="E3" s="121">
        <v>2</v>
      </c>
    </row>
    <row r="4" spans="1:11" x14ac:dyDescent="0.25">
      <c r="A4" s="121" t="s">
        <v>12</v>
      </c>
      <c r="B4" s="121">
        <v>5</v>
      </c>
      <c r="C4" s="177"/>
      <c r="E4">
        <f>SUM(E2:E3)</f>
        <v>10</v>
      </c>
      <c r="F4" s="201">
        <f>E4/100</f>
        <v>0.1</v>
      </c>
      <c r="J4" t="s">
        <v>71</v>
      </c>
      <c r="K4">
        <v>10</v>
      </c>
    </row>
    <row r="5" spans="1:11" x14ac:dyDescent="0.25">
      <c r="A5" s="210" t="s">
        <v>67</v>
      </c>
      <c r="B5" s="210">
        <v>1.5</v>
      </c>
      <c r="C5" s="177"/>
      <c r="D5" t="s">
        <v>60</v>
      </c>
      <c r="E5">
        <f>(100-E4)/100</f>
        <v>0.9</v>
      </c>
      <c r="J5" t="s">
        <v>72</v>
      </c>
      <c r="K5">
        <v>15</v>
      </c>
    </row>
    <row r="6" spans="1:11" x14ac:dyDescent="0.25">
      <c r="A6" s="211" t="s">
        <v>71</v>
      </c>
      <c r="B6" s="211">
        <f>VLOOKUP(A6,J4:K6,2,0)</f>
        <v>10</v>
      </c>
      <c r="C6" s="211"/>
      <c r="J6" t="s">
        <v>73</v>
      </c>
      <c r="K6">
        <v>20</v>
      </c>
    </row>
    <row r="7" spans="1:11" x14ac:dyDescent="0.25">
      <c r="B7">
        <f>SUM(B2:B6)</f>
        <v>36.5</v>
      </c>
      <c r="C7" s="201">
        <f>B7/100</f>
        <v>0.36499999999999999</v>
      </c>
    </row>
    <row r="8" spans="1:11" x14ac:dyDescent="0.25">
      <c r="A8" s="177" t="s">
        <v>61</v>
      </c>
      <c r="B8">
        <f>(100-B7)/100</f>
        <v>0.63500000000000001</v>
      </c>
    </row>
    <row r="9" spans="1:11" x14ac:dyDescent="0.25">
      <c r="A9" s="199"/>
      <c r="B9" s="199" t="s">
        <v>65</v>
      </c>
      <c r="C9" s="199" t="s">
        <v>66</v>
      </c>
      <c r="D9" s="199" t="s">
        <v>65</v>
      </c>
      <c r="E9" s="199" t="s">
        <v>66</v>
      </c>
    </row>
    <row r="10" spans="1:11" x14ac:dyDescent="0.25">
      <c r="A10" s="199" t="s">
        <v>64</v>
      </c>
      <c r="B10" s="200">
        <f>C13+B14</f>
        <v>190</v>
      </c>
      <c r="C10" s="199">
        <f>SUM(B16:B18)</f>
        <v>120</v>
      </c>
      <c r="D10" s="200">
        <f>E14+C13</f>
        <v>102</v>
      </c>
      <c r="E10" s="200">
        <f>SUM(E16:E18)</f>
        <v>25.5</v>
      </c>
    </row>
    <row r="11" spans="1:11" ht="15.75" thickBot="1" x14ac:dyDescent="0.3">
      <c r="A11" s="184" t="s">
        <v>53</v>
      </c>
      <c r="B11" s="184" t="s">
        <v>45</v>
      </c>
      <c r="C11" s="184"/>
      <c r="D11" s="185" t="s">
        <v>46</v>
      </c>
      <c r="E11" s="185"/>
    </row>
    <row r="12" spans="1:11" x14ac:dyDescent="0.25">
      <c r="A12" s="186" t="s">
        <v>36</v>
      </c>
      <c r="B12" s="187">
        <v>10</v>
      </c>
      <c r="C12" s="188"/>
      <c r="D12" s="189"/>
      <c r="E12" s="190"/>
    </row>
    <row r="13" spans="1:11" ht="15.75" thickBot="1" x14ac:dyDescent="0.3">
      <c r="A13" s="191" t="s">
        <v>62</v>
      </c>
      <c r="B13" s="192">
        <v>10</v>
      </c>
      <c r="C13" s="188">
        <f>B13*B12</f>
        <v>100</v>
      </c>
      <c r="D13" s="193"/>
      <c r="E13" s="194"/>
    </row>
    <row r="14" spans="1:11" ht="15.75" thickBot="1" x14ac:dyDescent="0.3">
      <c r="A14" s="195" t="s">
        <v>47</v>
      </c>
      <c r="B14" s="196">
        <v>90</v>
      </c>
      <c r="C14" s="197"/>
      <c r="D14" s="198">
        <v>0.2</v>
      </c>
      <c r="E14" s="196">
        <f>D14*B13</f>
        <v>2</v>
      </c>
    </row>
    <row r="15" spans="1:11" x14ac:dyDescent="0.25">
      <c r="A15" s="182" t="s">
        <v>63</v>
      </c>
      <c r="B15" s="183">
        <f>B10/(100%-C7)</f>
        <v>299.21259842519686</v>
      </c>
      <c r="C15" s="182"/>
      <c r="D15" s="183">
        <f>D10/(100%-C7)</f>
        <v>160.62992125984252</v>
      </c>
      <c r="E15" s="182"/>
    </row>
    <row r="16" spans="1:11" x14ac:dyDescent="0.25">
      <c r="A16" s="202" t="s">
        <v>37</v>
      </c>
      <c r="B16" s="202">
        <v>90</v>
      </c>
      <c r="C16" s="202"/>
      <c r="D16" s="203">
        <v>0.05</v>
      </c>
      <c r="E16" s="204">
        <f>C13*D16</f>
        <v>5</v>
      </c>
    </row>
    <row r="17" spans="1:5" x14ac:dyDescent="0.25">
      <c r="A17" s="202" t="s">
        <v>38</v>
      </c>
      <c r="B17" s="202">
        <v>10</v>
      </c>
      <c r="C17" s="202"/>
      <c r="D17" s="205">
        <v>5.0000000000000001E-3</v>
      </c>
      <c r="E17" s="204">
        <f>C13*D17</f>
        <v>0.5</v>
      </c>
    </row>
    <row r="18" spans="1:5" x14ac:dyDescent="0.25">
      <c r="A18" s="202" t="s">
        <v>39</v>
      </c>
      <c r="B18" s="202">
        <v>20</v>
      </c>
      <c r="C18" s="202"/>
      <c r="D18" s="202"/>
      <c r="E18" s="202">
        <f>B18</f>
        <v>20</v>
      </c>
    </row>
    <row r="19" spans="1:5" x14ac:dyDescent="0.25">
      <c r="A19" s="206" t="s">
        <v>68</v>
      </c>
      <c r="B19" s="207">
        <f>C10/(100%-F4)</f>
        <v>133.33333333333334</v>
      </c>
      <c r="C19" s="206"/>
      <c r="D19" s="206"/>
      <c r="E19" s="207">
        <f>E10/(100%-F4)</f>
        <v>28.333333333333332</v>
      </c>
    </row>
    <row r="20" spans="1:5" x14ac:dyDescent="0.25">
      <c r="A20" s="208" t="s">
        <v>69</v>
      </c>
      <c r="B20" s="209">
        <f>B15+B19</f>
        <v>432.54593175853017</v>
      </c>
      <c r="C20" s="208"/>
      <c r="D20" s="208"/>
      <c r="E20" s="209">
        <f>E19+D15</f>
        <v>188.96325459317586</v>
      </c>
    </row>
    <row r="21" spans="1:5" x14ac:dyDescent="0.25">
      <c r="A21" s="208" t="s">
        <v>70</v>
      </c>
      <c r="B21" s="209">
        <f>B20/B13</f>
        <v>43.254593175853017</v>
      </c>
      <c r="C21" s="208"/>
      <c r="D21" s="208"/>
      <c r="E21" s="209">
        <f>E20/B13</f>
        <v>18.896325459317588</v>
      </c>
    </row>
  </sheetData>
  <mergeCells count="1">
    <mergeCell ref="D11:E11"/>
  </mergeCells>
  <dataValidations count="1">
    <dataValidation type="list" allowBlank="1" showInputMessage="1" showErrorMessage="1" sqref="A6" xr:uid="{A7BEFDF1-34E4-43DF-9624-E013E756A15F}">
      <formula1>$J$4:$J$6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REPASSE (2)</vt:lpstr>
      <vt:lpstr>REPASSE</vt:lpstr>
      <vt:lpstr>PEQUENA QUANTIDADE</vt:lpstr>
      <vt:lpstr>GRANDE QUANTIDADE (2)</vt:lpstr>
      <vt:lpstr>Planilha1</vt:lpstr>
      <vt:lpstr>GRANDE QUANTIDADE (3)</vt:lpstr>
      <vt:lpstr>GRANDE QUANTIDADE (4)</vt:lpstr>
      <vt:lpstr>Planilha4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 Fernando Avila</cp:lastModifiedBy>
  <dcterms:created xsi:type="dcterms:W3CDTF">2022-02-10T13:21:41Z</dcterms:created>
  <dcterms:modified xsi:type="dcterms:W3CDTF">2024-12-05T16:10:03Z</dcterms:modified>
</cp:coreProperties>
</file>